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71tyV55yIbdheO0FZyg9i532oEC/8kRgUzF1ltgid4irB3fswQulQCLLztjvq+G1XVzOokhy2q9mWZRNwZcs1w==" workbookSaltValue="CDsBvJ9Md5vuJRnT49yoi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ES19" i="8"/>
  <c r="G18" i="12"/>
  <c r="BH19" i="13"/>
  <c r="EP19" i="8"/>
  <c r="AJ13" i="16"/>
  <c r="S13" i="16"/>
  <c r="P13" i="16"/>
  <c r="H13" i="21"/>
  <c r="AN13" i="20"/>
  <c r="F15" i="17"/>
  <c r="AQ15" i="17" s="1"/>
  <c r="M18" i="2"/>
  <c r="AN12" i="11"/>
  <c r="H13" i="12"/>
  <c r="T13" i="16"/>
  <c r="T13" i="20"/>
  <c r="BF15" i="13"/>
  <c r="BG15" i="13"/>
  <c r="BA18" i="13"/>
  <c r="BE15" i="13"/>
  <c r="BF16" i="13"/>
  <c r="W20" i="20"/>
  <c r="AA20" i="20"/>
  <c r="AV20" i="20"/>
  <c r="AP20" i="20"/>
  <c r="M20" i="20"/>
  <c r="C18" i="7" l="1"/>
  <c r="T19" i="8"/>
  <c r="BG15" i="8"/>
  <c r="C13" i="7"/>
  <c r="F13" i="7"/>
  <c r="BE9" i="8"/>
  <c r="I9" i="7" s="1"/>
  <c r="E12" i="6"/>
  <c r="AO12" i="11"/>
  <c r="K12" i="7"/>
  <c r="AO9" i="11"/>
  <c r="AO17" i="11"/>
  <c r="F15" i="16"/>
  <c r="BL15" i="16" s="1"/>
  <c r="BE12" i="21"/>
  <c r="F11" i="11"/>
  <c r="AQ11" i="11" s="1"/>
  <c r="R8" i="9"/>
  <c r="R12" i="14" s="1"/>
  <c r="AP16" i="20"/>
  <c r="V15" i="11"/>
  <c r="BH15" i="11"/>
  <c r="Q17" i="20"/>
  <c r="Q18" i="20" s="1"/>
  <c r="BF17" i="11"/>
  <c r="S17" i="16"/>
  <c r="AM11" i="11"/>
  <c r="AP10" i="21"/>
  <c r="BH9" i="11"/>
  <c r="BJ15" i="11"/>
  <c r="AP15" i="20"/>
  <c r="R17" i="20"/>
  <c r="R18" i="20" s="1"/>
  <c r="T17" i="16"/>
  <c r="BU11" i="17"/>
  <c r="BU10" i="17"/>
  <c r="BW12" i="20"/>
  <c r="BW11" i="20"/>
  <c r="BW10" i="20"/>
  <c r="BU16" i="17"/>
  <c r="AZ16" i="11"/>
  <c r="BG12" i="11"/>
  <c r="BH10" i="11"/>
  <c r="AQ10" i="21"/>
  <c r="BH10" i="16"/>
  <c r="BM17" i="11"/>
  <c r="BH16" i="11"/>
  <c r="BJ16" i="11"/>
  <c r="X12" i="17"/>
  <c r="L12" i="2"/>
  <c r="L9" i="2"/>
  <c r="S15" i="14"/>
  <c r="V15" i="14" s="1"/>
  <c r="T16" i="11"/>
  <c r="AA17" i="16"/>
  <c r="X9" i="17"/>
  <c r="V15" i="16"/>
  <c r="S17" i="17"/>
  <c r="AZ15" i="11"/>
  <c r="AZ18" i="11" s="1"/>
  <c r="X10" i="21"/>
  <c r="S16" i="17"/>
  <c r="S16" i="14"/>
  <c r="V16" i="14" s="1"/>
  <c r="T12" i="11"/>
  <c r="T17" i="11"/>
  <c r="X10" i="17"/>
  <c r="AA9" i="16"/>
  <c r="X13" i="20"/>
  <c r="X17" i="20"/>
  <c r="AA12" i="21"/>
  <c r="V17" i="16"/>
  <c r="L15" i="2"/>
  <c r="X9" i="16"/>
  <c r="X19" i="16" s="1"/>
  <c r="X15" i="16"/>
  <c r="X18" i="16" s="1"/>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J12" i="12" s="1"/>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L9" i="14"/>
  <c r="L16" i="14"/>
  <c r="E17" i="6"/>
  <c r="H19" i="21"/>
  <c r="AG13" i="21"/>
  <c r="BC21" i="21"/>
  <c r="AZ20" i="20"/>
  <c r="S20" i="20"/>
  <c r="E20" i="20"/>
  <c r="U16" i="11"/>
  <c r="O20" i="20"/>
  <c r="AU20" i="20"/>
  <c r="L20" i="20"/>
  <c r="AQ20" i="20"/>
  <c r="AN20" i="20"/>
  <c r="R20" i="20"/>
  <c r="AO20" i="20"/>
  <c r="K20" i="20"/>
  <c r="W20" i="21"/>
  <c r="Z20" i="20"/>
  <c r="G13" i="14"/>
  <c r="AK20" i="20"/>
  <c r="U10" i="11"/>
  <c r="AH20" i="20"/>
  <c r="AI20" i="20"/>
  <c r="AM20" i="20"/>
  <c r="AC20" i="20"/>
  <c r="AB20" i="20"/>
  <c r="I20" i="20"/>
  <c r="AD20" i="20"/>
  <c r="AX20" i="20"/>
  <c r="G18" i="14"/>
  <c r="U12" i="11"/>
  <c r="AJ20" i="20"/>
  <c r="O10" i="11"/>
  <c r="AL20" i="20"/>
  <c r="AG20" i="20"/>
  <c r="AE20" i="20"/>
  <c r="P20" i="20"/>
  <c r="Y20" i="20"/>
  <c r="Q20" i="20"/>
  <c r="F20" i="20"/>
  <c r="AF20" i="20"/>
  <c r="O16" i="11"/>
  <c r="T20" i="21"/>
  <c r="J20" i="20"/>
  <c r="AQ20" i="21"/>
  <c r="X20" i="20"/>
  <c r="H20" i="20"/>
  <c r="K15" i="12" l="1"/>
  <c r="I9" i="12"/>
  <c r="U10" i="21"/>
  <c r="V15" i="20"/>
  <c r="V18" i="20" s="1"/>
  <c r="L17" i="2"/>
  <c r="L11" i="2"/>
  <c r="X16" i="20"/>
  <c r="V12" i="21"/>
  <c r="T17" i="20"/>
  <c r="AA11" i="16"/>
  <c r="X15" i="17"/>
  <c r="X16" i="17"/>
  <c r="S11" i="14"/>
  <c r="V11" i="14" s="1"/>
  <c r="R11" i="14"/>
  <c r="S12" i="14"/>
  <c r="V12" i="14" s="1"/>
  <c r="X12" i="16"/>
  <c r="AZ17" i="11"/>
  <c r="AZ9" i="11"/>
  <c r="S9" i="17"/>
  <c r="X11" i="17"/>
  <c r="X17" i="17"/>
  <c r="AA16" i="16"/>
  <c r="T15" i="11"/>
  <c r="S9" i="14"/>
  <c r="V9" i="14" s="1"/>
  <c r="U9" i="17"/>
  <c r="U19" i="17" s="1"/>
  <c r="AA10" i="16"/>
  <c r="BL16" i="11"/>
  <c r="AQ12" i="21"/>
  <c r="BF15" i="11"/>
  <c r="Q15" i="17"/>
  <c r="S10" i="17"/>
  <c r="BI9" i="11"/>
  <c r="Q17" i="17"/>
  <c r="AZ12" i="11"/>
  <c r="BV9" i="16"/>
  <c r="V12" i="16"/>
  <c r="U10" i="17"/>
  <c r="BV11" i="16"/>
  <c r="BV12" i="16"/>
  <c r="BV17" i="16"/>
  <c r="T15" i="16"/>
  <c r="BK17" i="11"/>
  <c r="BG15" i="11"/>
  <c r="BJ12" i="11"/>
  <c r="BI15" i="11"/>
  <c r="BM12" i="11"/>
  <c r="BK11" i="11"/>
  <c r="BL12" i="11"/>
  <c r="BF16" i="11"/>
  <c r="V11" i="16"/>
  <c r="BH15" i="16"/>
  <c r="BJ17" i="11"/>
  <c r="BJ18" i="11" s="1"/>
  <c r="BH9" i="16"/>
  <c r="X12" i="21"/>
  <c r="AM12" i="11"/>
  <c r="S17" i="14"/>
  <c r="V17" i="14" s="1"/>
  <c r="BF11" i="11"/>
  <c r="BL9" i="11"/>
  <c r="BG10" i="11"/>
  <c r="P17" i="17"/>
  <c r="BK12" i="11"/>
  <c r="BK9" i="11"/>
  <c r="BK15" i="11"/>
  <c r="BI10" i="11"/>
  <c r="V9" i="11"/>
  <c r="R10" i="21"/>
  <c r="BG9" i="11"/>
  <c r="BH17" i="11"/>
  <c r="AP17" i="20"/>
  <c r="BW9" i="20"/>
  <c r="BV16" i="16"/>
  <c r="BV15" i="16"/>
  <c r="BU9" i="17"/>
  <c r="BU17" i="17"/>
  <c r="BU12" i="17"/>
  <c r="AA15" i="16"/>
  <c r="S15" i="16"/>
  <c r="S18" i="16" s="1"/>
  <c r="BF12" i="11"/>
  <c r="BL10" i="11"/>
  <c r="BK16" i="11"/>
  <c r="BG16" i="11"/>
  <c r="BM9" i="11"/>
  <c r="BK10" i="11"/>
  <c r="L10" i="2"/>
  <c r="L16" i="2"/>
  <c r="V9" i="16"/>
  <c r="R17" i="14"/>
  <c r="T9" i="11"/>
  <c r="BH11" i="16"/>
  <c r="BH17" i="16"/>
  <c r="BM16" i="11"/>
  <c r="BL17" i="11"/>
  <c r="BF10" i="11"/>
  <c r="V11" i="11"/>
  <c r="Q10" i="21"/>
  <c r="BJ11" i="11"/>
  <c r="BI17" i="11"/>
  <c r="BL11" i="11"/>
  <c r="BM15" i="11"/>
  <c r="Q15" i="11" s="1"/>
  <c r="BU15" i="17"/>
  <c r="BW17" i="20"/>
  <c r="BW16" i="20"/>
  <c r="BW15" i="20"/>
  <c r="BV10" i="16"/>
  <c r="S11" i="17"/>
  <c r="AZ11" i="11"/>
  <c r="P15" i="17"/>
  <c r="BL15" i="11"/>
  <c r="BJ10" i="11"/>
  <c r="BH11" i="11"/>
  <c r="T11" i="11"/>
  <c r="BH12" i="16"/>
  <c r="S15" i="17"/>
  <c r="V10" i="16"/>
  <c r="R16" i="14"/>
  <c r="R10" i="14"/>
  <c r="S10" i="14"/>
  <c r="V10" i="14"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BB19" i="16"/>
  <c r="BC19" i="13"/>
  <c r="Z19" i="13"/>
  <c r="BD13" i="13"/>
  <c r="BF9" i="13"/>
  <c r="AY13" i="13"/>
  <c r="BG13" i="13" s="1"/>
  <c r="BA19" i="13"/>
  <c r="BF19" i="13" s="1"/>
  <c r="AI19" i="13"/>
  <c r="L19" i="13"/>
  <c r="Y19" i="13"/>
  <c r="N19" i="13"/>
  <c r="BD10" i="13"/>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K12" i="12"/>
  <c r="AJ18" i="11"/>
  <c r="D18" i="5"/>
  <c r="P17" i="11"/>
  <c r="F16" i="2"/>
  <c r="H16" i="2"/>
  <c r="J16" i="2"/>
  <c r="F13" i="3"/>
  <c r="E9" i="3"/>
  <c r="G9" i="3"/>
  <c r="T18" i="16"/>
  <c r="T19" i="16" s="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AY19" i="8"/>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B19" i="7" l="1"/>
  <c r="AO18" i="11"/>
  <c r="P15" i="11"/>
  <c r="S19" i="16"/>
  <c r="BL18" i="11"/>
  <c r="BV13" i="16"/>
  <c r="BU21" i="17"/>
  <c r="BK18" i="11"/>
  <c r="BW21" i="20"/>
  <c r="BK13" i="11"/>
  <c r="Q9" i="11"/>
  <c r="Q18" i="17"/>
  <c r="Q19" i="17" s="1"/>
  <c r="AZ19" i="11"/>
  <c r="AZ13" i="11"/>
  <c r="R13" i="21"/>
  <c r="R19" i="21" s="1"/>
  <c r="BH13" i="11"/>
  <c r="P18" i="17"/>
  <c r="P19" i="17" s="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K19" i="11" l="1"/>
  <c r="BE19" i="13"/>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S20" i="17"/>
  <c r="J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F20" i="21"/>
  <c r="AC20" i="16"/>
  <c r="AI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<sst xmlns="http://schemas.openxmlformats.org/spreadsheetml/2006/main" count="2088" uniqueCount="915">
  <si>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</si>
  <si>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</si>
  <si>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</si>
  <si>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</si>
  <si>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</si>
  <si>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</si>
  <si>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</si>
  <si>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</si>
  <si>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</si>
  <si>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</si>
  <si>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</si>
  <si>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</si>
  <si>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</si>
  <si>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</si>
  <si>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</si>
  <si>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</si>
  <si>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</si>
  <si>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</si>
  <si>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</si>
  <si>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</si>
  <si>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</si>
  <si>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</si>
  <si>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</si>
  <si>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</si>
  <si>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</si>
  <si>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</si>
  <si>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</si>
  <si>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</si>
  <si>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</si>
  <si>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</si>
  <si>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</si>
  <si>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</si>
  <si>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</si>
  <si>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</si>
  <si>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</si>
  <si>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</si>
  <si>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</si>
  <si>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</si>
  <si>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</si>
  <si>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</si>
  <si>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</si>
  <si>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</si>
  <si>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</si>
  <si>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</si>
  <si>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</si>
  <si>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</si>
  <si>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</si>
  <si>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</si>
  <si>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</si>
  <si>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</si>
  <si>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</si>
  <si>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</si>
  <si>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</si>
  <si>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</si>
  <si>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</si>
  <si>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</si>
  <si>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</si>
  <si>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</si>
  <si>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</si>
  <si>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</si>
  <si>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</si>
  <si>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</si>
  <si>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</si>
  <si>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</si>
  <si>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</si>
  <si>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</si>
  <si>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</si>
  <si>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</si>
  <si>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</si>
  <si>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</si>
  <si>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</si>
  <si>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</si>
  <si>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</si>
  <si>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</si>
  <si>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</si>
  <si>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</si>
  <si>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</si>
  <si>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</si>
  <si>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</si>
  <si>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</si>
  <si>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</si>
  <si>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</si>
  <si>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</si>
  <si>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</si>
  <si>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</si>
  <si>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</si>
  <si>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</si>
  <si>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</si>
  <si>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</si>
  <si>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</si>
  <si>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</si>
  <si>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</si>
  <si>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</si>
  <si>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</si>
  <si>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</si>
  <si>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</si>
  <si>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</si>
  <si>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</si>
  <si>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</si>
  <si>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</si>
  <si>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</si>
  <si>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</si>
  <si>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</si>
  <si>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</si>
  <si>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</si>
  <si>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</si>
  <si>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</si>
  <si>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</si>
  <si>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</si>
  <si>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</si>
  <si>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</si>
  <si>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</si>
  <si>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</si>
  <si>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</si>
  <si>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</si>
  <si>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</si>
  <si>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</si>
  <si>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</si>
  <si>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</si>
  <si>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</si>
  <si>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</si>
  <si>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</si>
  <si>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</si>
  <si>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</si>
  <si>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</si>
  <si>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</si>
  <si>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</si>
  <si>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</si>
  <si>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</si>
  <si>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</si>
  <si>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</si>
  <si>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</si>
  <si>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</si>
  <si>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</si>
  <si>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</si>
  <si>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</si>
  <si>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</si>
  <si>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</si>
  <si>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</si>
  <si>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</si>
  <si>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</si>
  <si>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</si>
  <si>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</si>
  <si>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</si>
  <si>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</si>
  <si>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</si>
  <si>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</si>
  <si>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</si>
  <si>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</si>
  <si>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</si>
  <si>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</si>
  <si>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</si>
  <si>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</si>
  <si>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</si>
  <si>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</si>
  <si>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</si>
  <si>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</si>
  <si>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</si>
  <si>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</si>
  <si>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</si>
  <si>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</si>
  <si>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</si>
  <si>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</si>
  <si>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</si>
  <si>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</si>
  <si>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</si>
  <si>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</si>
  <si>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</si>
  <si>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</si>
  <si>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</si>
  <si>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</si>
  <si>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</si>
  <si>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</si>
  <si>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</si>
  <si>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</si>
  <si>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</si>
  <si>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</si>
  <si>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</si>
  <si>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</si>
  <si>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</si>
  <si>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</si>
  <si>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</si>
  <si>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</si>
  <si>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</si>
  <si>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</si>
  <si>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</si>
  <si>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</si>
  <si>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</si>
  <si>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</si>
  <si>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</si>
  <si>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</si>
  <si>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</si>
  <si>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</si>
  <si>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</si>
  <si>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</si>
  <si>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</si>
  <si>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</si>
  <si>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</si>
  <si>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</si>
  <si>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</si>
  <si>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</si>
  <si>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</si>
  <si>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</si>
  <si>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</si>
  <si>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</si>
  <si>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</si>
  <si>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</si>
  <si>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</si>
  <si>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</si>
  <si>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</si>
  <si>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</si>
  <si>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</si>
  <si>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</si>
  <si>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</si>
  <si>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</si>
  <si>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</si>
  <si>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</si>
  <si>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</si>
  <si>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</si>
  <si>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</si>
  <si>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</si>
  <si>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</si>
  <si>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</si>
  <si>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</si>
  <si>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</si>
  <si>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</si>
  <si>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</si>
  <si>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</si>
  <si>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</si>
  <si>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</si>
  <si>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</si>
  <si>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</si>
  <si>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</si>
  <si>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</si>
  <si>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</si>
  <si>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</si>
  <si>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</si>
  <si>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</si>
  <si>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</si>
  <si>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</si>
  <si>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</si>
  <si>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</si>
  <si>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</si>
  <si>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</si>
  <si>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</si>
  <si>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</si>
  <si>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</si>
  <si>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</si>
  <si>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</si>
  <si>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</si>
  <si>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</si>
  <si>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</si>
  <si>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</si>
  <si>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</si>
  <si>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</si>
  <si>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</si>
  <si>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</si>
  <si>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</si>
  <si>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</si>
  <si>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</si>
  <si>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</si>
  <si>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</si>
  <si>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</si>
  <si>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</si>
  <si>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</si>
  <si>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</si>
  <si>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</si>
  <si>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</si>
  <si>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</si>
  <si>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</si>
  <si>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</si>
  <si>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</si>
  <si>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</si>
  <si>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</si>
  <si>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</si>
  <si>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</si>
  <si>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</si>
  <si>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</si>
  <si>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</si>
  <si>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</si>
  <si>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</si>
  <si>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</si>
  <si>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</si>
  <si>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</si>
  <si>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</si>
  <si>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</si>
  <si>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</si>
  <si>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</si>
  <si>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</si>
  <si>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</si>
  <si>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</si>
  <si>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</si>
  <si>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</si>
  <si>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</si>
  <si>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</si>
  <si>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</si>
  <si>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</si>
  <si>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</si>
  <si>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</si>
  <si>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</si>
  <si>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</si>
  <si>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</si>
  <si>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</si>
  <si>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</si>
  <si>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</si>
  <si>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</si>
  <si>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</si>
  <si>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</si>
  <si>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</si>
  <si>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</si>
  <si>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</si>
  <si>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</si>
  <si>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</si>
  <si>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</si>
  <si>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</si>
  <si>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</si>
  <si>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</si>
  <si>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</si>
  <si>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</si>
  <si>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</si>
  <si>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</si>
  <si>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</si>
  <si>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</si>
  <si>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</si>
  <si>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</si>
  <si>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</si>
  <si>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</si>
  <si>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</si>
  <si>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</si>
  <si>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</si>
  <si>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</si>
  <si>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</si>
  <si>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</si>
  <si>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</si>
  <si>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</si>
  <si>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</si>
  <si>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</si>
  <si>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</si>
  <si>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</si>
  <si>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</si>
  <si>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</si>
  <si>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</si>
  <si>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</si>
  <si>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</si>
  <si>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</si>
  <si>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</si>
  <si>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</si>
  <si>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</si>
  <si>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</si>
  <si>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</si>
  <si>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</si>
  <si>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</si>
  <si>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</si>
  <si>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</si>
  <si>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</si>
  <si>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</si>
  <si>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</si>
  <si>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</si>
  <si>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</si>
  <si>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</si>
  <si>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</si>
  <si>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</si>
  <si>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</si>
  <si>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</si>
  <si>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</si>
  <si>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</si>
  <si>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</si>
  <si>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</si>
  <si>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</si>
  <si>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</si>
  <si>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</si>
  <si>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</si>
  <si>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</si>
  <si>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</si>
  <si>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</si>
  <si>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</si>
  <si>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</si>
  <si>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</si>
  <si>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</si>
  <si>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</si>
  <si>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</si>
  <si>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</si>
  <si>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</si>
  <si>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</si>
  <si>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</si>
  <si>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</si>
  <si>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</si>
  <si>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</si>
  <si>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</si>
  <si>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</si>
  <si>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</si>
  <si>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</si>
  <si>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</si>
  <si>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</si>
  <si>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</si>
  <si>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</si>
  <si>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</si>
  <si>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</si>
  <si>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</si>
  <si>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</si>
  <si>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</si>
  <si>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</si>
  <si>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</si>
  <si>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</si>
  <si>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</si>
  <si>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</si>
  <si>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</si>
  <si>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</si>
  <si>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</si>
  <si>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</si>
  <si>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</si>
  <si>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</si>
  <si>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</si>
  <si>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</si>
  <si>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</si>
  <si>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</si>
  <si>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</si>
  <si>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</si>
  <si>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</si>
  <si>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</si>
  <si>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</si>
  <si>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</si>
  <si>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</si>
  <si>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</si>
  <si>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</si>
  <si>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</si>
  <si>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</si>
  <si>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</si>
  <si>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</si>
  <si>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</si>
  <si>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</si>
  <si>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</si>
  <si>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</si>
  <si>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</si>
  <si>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</si>
  <si>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</si>
  <si>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</si>
  <si>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</si>
  <si>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</si>
  <si>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</si>
  <si>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</si>
  <si>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</si>
  <si>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</si>
  <si>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</si>
  <si>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</si>
  <si>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</si>
  <si>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</si>
  <si>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</si>
  <si>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</si>
  <si>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</si>
  <si>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</si>
  <si>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</si>
  <si>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</si>
  <si>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</si>
  <si>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</si>
  <si>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</si>
  <si>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</si>
  <si>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</si>
  <si>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</si>
  <si>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</si>
  <si>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</si>
  <si>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</si>
  <si>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</si>
  <si>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</si>
  <si>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</si>
  <si>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</si>
  <si>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</si>
  <si>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</si>
  <si>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</si>
  <si>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</si>
  <si>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</si>
  <si>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</si>
  <si>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</si>
  <si>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</si>
  <si>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</si>
  <si>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</si>
  <si>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</si>
  <si>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</si>
  <si>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</si>
  <si>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</si>
  <si>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</si>
  <si>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</si>
  <si>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</si>
  <si>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</si>
  <si>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</si>
  <si>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</si>
  <si>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</si>
  <si>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</si>
  <si>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</si>
  <si>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</si>
  <si>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</si>
  <si>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</si>
  <si>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</si>
  <si>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</si>
  <si>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</si>
  <si>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</si>
  <si>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</si>
  <si>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</si>
  <si>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</si>
  <si>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</si>
  <si>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</si>
  <si>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</si>
  <si>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</si>
  <si>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</si>
  <si>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</si>
  <si>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</si>
  <si>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</si>
  <si>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</si>
  <si>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</si>
  <si>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</si>
  <si>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</si>
  <si>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</si>
  <si>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</si>
  <si>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</si>
  <si>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</si>
  <si>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</si>
  <si>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</si>
  <si>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</si>
  <si>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</si>
  <si>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</si>
  <si>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</si>
  <si>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</si>
  <si>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</si>
  <si>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</si>
  <si>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</si>
  <si>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</si>
  <si>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</si>
  <si>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</si>
  <si>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</si>
  <si>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</si>
  <si>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</si>
  <si>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</si>
  <si>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</si>
  <si>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</si>
  <si>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</si>
  <si>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</si>
  <si>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</si>
  <si>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</si>
  <si>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</si>
  <si>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</si>
  <si>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</si>
  <si>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</si>
  <si>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</si>
  <si>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</si>
  <si>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</si>
  <si>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</si>
  <si>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</si>
  <si>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</si>
  <si>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</si>
  <si>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</si>
  <si>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</si>
  <si>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</si>
  <si>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</si>
  <si>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</si>
  <si>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</si>
  <si>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</si>
  <si>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</si>
  <si>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</si>
  <si>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</si>
  <si>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</si>
  <si>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</si>
  <si>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</si>
  <si>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</si>
  <si>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</si>
  <si>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</si>
  <si>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</si>
  <si>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</si>
  <si>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</si>
  <si>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</si>
  <si>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</si>
  <si>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</si>
  <si>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</si>
  <si>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</si>
  <si>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</si>
  <si>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</si>
  <si>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</si>
  <si>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</si>
  <si>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</si>
  <si>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</si>
  <si>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</si>
  <si>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</si>
  <si>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</si>
  <si>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</si>
  <si>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</si>
  <si>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</si>
  <si>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</si>
  <si>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</si>
  <si>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</si>
  <si>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</si>
  <si>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</si>
  <si>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</si>
  <si>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</si>
  <si>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</si>
  <si>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</si>
  <si>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</si>
  <si>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</si>
  <si>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</si>
  <si>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</si>
  <si>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</si>
  <si>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</si>
  <si>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</si>
  <si>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</si>
  <si>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</si>
  <si>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</si>
  <si>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</si>
  <si>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</si>
  <si>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</si>
  <si>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</si>
  <si>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</si>
  <si>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</si>
  <si>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</si>
  <si>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</si>
  <si>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</si>
  <si>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</si>
  <si>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</si>
  <si>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</si>
  <si>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</si>
  <si>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</si>
  <si>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</si>
  <si>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</si>
  <si>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</si>
  <si>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</si>
  <si>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</si>
  <si>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</si>
  <si>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</si>
  <si>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</si>
  <si>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</si>
  <si>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</si>
  <si>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</si>
  <si>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</si>
  <si>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</si>
  <si>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</si>
  <si>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</si>
  <si>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</si>
  <si>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</si>
  <si>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</si>
  <si>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</si>
  <si>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</si>
  <si>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</si>
  <si>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</si>
  <si>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</si>
  <si>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</si>
  <si>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</si>
  <si>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</si>
  <si>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</si>
  <si>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</si>
  <si>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</si>
  <si>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</si>
  <si>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</si>
  <si>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</si>
  <si>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</si>
  <si>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</si>
  <si>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</si>
  <si>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</si>
  <si>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</si>
  <si>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</si>
  <si>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</si>
  <si>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</si>
  <si>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</si>
  <si>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</si>
  <si>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</si>
  <si>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</si>
  <si>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</si>
  <si>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</si>
  <si>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</si>
  <si>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</si>
  <si>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</si>
  <si>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</si>
  <si>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</si>
  <si>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</si>
  <si>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</si>
  <si>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</si>
  <si>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</si>
  <si>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</si>
  <si>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</si>
  <si>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</si>
  <si>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</si>
  <si>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</si>
  <si>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</si>
  <si>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</si>
  <si>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</si>
  <si>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</si>
  <si>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</si>
  <si>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</si>
  <si>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</si>
  <si>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</si>
  <si>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</si>
  <si>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</si>
  <si>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</si>
  <si>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</si>
  <si>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</si>
  <si>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</si>
  <si>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</si>
  <si>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</si>
  <si>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</si>
  <si>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</si>
  <si>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</si>
  <si>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</si>
  <si>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</si>
  <si>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</si>
  <si>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</si>
  <si>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</si>
  <si>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</si>
  <si>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</si>
  <si>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</si>
  <si>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</si>
  <si>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</si>
  <si>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</si>
  <si>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</si>
  <si>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</si>
  <si>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</si>
  <si>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</si>
  <si>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</si>
  <si>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</si>
  <si>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</si>
  <si>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</si>
  <si>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</si>
  <si>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</si>
  <si>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</si>
  <si>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</si>
  <si>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</si>
  <si>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</si>
  <si>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</si>
  <si>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</si>
  <si>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</si>
  <si>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</si>
  <si>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</si>
  <si>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</si>
  <si>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</si>
  <si>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</si>
  <si>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</si>
  <si>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</si>
  <si>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</si>
  <si>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</si>
  <si>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</si>
  <si>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</si>
  <si>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</si>
  <si>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</si>
  <si>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</si>
  <si>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</si>
  <si>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</si>
  <si>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</si>
  <si>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</si>
  <si>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</si>
  <si>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</si>
  <si>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</si>
  <si>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</si>
  <si>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</si>
  <si>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</si>
  <si>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</si>
  <si>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</si>
  <si>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</si>
  <si>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</si>
  <si>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</si>
  <si>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</si>
  <si>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</si>
  <si>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</si>
  <si>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</si>
  <si>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</si>
  <si>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</si>
  <si>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</si>
  <si>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</si>
  <si>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</si>
  <si>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</si>
  <si>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</si>
  <si>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</si>
  <si>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</si>
  <si>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</si>
  <si>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</si>
  <si>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</si>
  <si>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</si>
  <si>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</si>
  <si>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</si>
  <si>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</si>
  <si>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</si>
  <si>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</si>
  <si>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</si>
  <si>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</si>
  <si>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</si>
  <si>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</si>
  <si>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</si>
  <si>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</si>
  <si>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</si>
  <si>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</si>
  <si>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</si>
  <si>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</si>
  <si>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</si>
  <si>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</si>
  <si>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</si>
  <si>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</si>
  <si>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</si>
  <si>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</si>
  <si>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</si>
  <si>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</si>
  <si>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</si>
  <si>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</si>
  <si>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</si>
  <si>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</si>
  <si>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</si>
  <si>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</si>
  <si>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</si>
  <si>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</si>
  <si>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</si>
  <si>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</si>
  <si>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</si>
  <si>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</si>
  <si>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</si>
  <si>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</si>
  <si>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</si>
  <si>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</si>
  <si>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</si>
  <si>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</si>
  <si>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</si>
  <si>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</si>
  <si>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</si>
  <si>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</si>
  <si>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</si>
  <si>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</si>
  <si>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</si>
  <si>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</si>
  <si>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</si>
  <si>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</si>
  <si>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</si>
  <si>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</si>
  <si>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</si>
  <si>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</si>
  <si>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</si>
  <si>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</si>
  <si>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</si>
  <si>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</si>
  <si>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</si>
  <si>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</si>
  <si>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</si>
  <si>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</si>
  <si>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</si>
  <si>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</si>
  <si>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</si>
  <si>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</si>
  <si>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</si>
  <si>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</si>
  <si>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</si>
  <si>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</si>
  <si>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</si>
  <si>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</si>
  <si>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</si>
  <si>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</si>
  <si>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</si>
  <si>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</si>
  <si>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</si>
  <si>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</si>
  <si>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</si>
  <si>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</si>
  <si>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</si>
  <si>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</si>
  <si>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</si>
  <si>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</si>
  <si>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</si>
  <si>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</si>
  <si>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</si>
  <si>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</si>
  <si>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</si>
  <si>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</si>
  <si>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</si>
  <si>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</si>
  <si>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</si>
  <si>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</si>
  <si>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</si>
  <si>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</si>
  <si>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</si>
  <si>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</si>
  <si>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</si>
  <si>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</si>
  <si>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</si>
  <si>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</si>
  <si>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</si>
  <si>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</si>
  <si>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</si>
  <si>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</si>
  <si>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</si>
  <si>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</si>
  <si>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</si>
  <si>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</si>
  <si>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</si>
  <si>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</si>
  <si>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</si>
  <si>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</si>
  <si>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</si>
  <si>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</si>
  <si>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</si>
  <si>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</si>
  <si>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</si>
  <si>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</si>
  <si>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</si>
  <si>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</si>
  <si>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</si>
  <si>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</si>
  <si>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</si>
  <si>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</si>
  <si>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</si>
  <si>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</si>
  <si>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</si>
  <si>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</si>
  <si>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</si>
  <si>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</si>
  <si>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</si>
  <si>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</si>
  <si>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</si>
  <si>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</si>
  <si>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</si>
  <si>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</si>
  <si>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</si>
  <si>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COMUNIDAD VALENCIANA</t>
  </si>
  <si>
    <t>Provincias</t>
  </si>
  <si>
    <t>VALENCIA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</si>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</sst>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KPtRBgJ6ry6SLSdxNJMtoOb/K16DhphZRQqOpzMIUjHqSoWNDyjLVRPhh0DiUQn22bxflBCyq9P6D3FAqzw44w==" saltValue="G0ATsDud4tvyiOnngnmT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26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27.268631779939138</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6</v>
      </c>
      <c r="B10" s="502" t="str">
        <f>Datos!A10</f>
        <v>Jdos. Violencia contra la mujer</v>
      </c>
      <c r="C10" s="225">
        <f t="shared" si="0"/>
        <v>337</v>
      </c>
      <c r="D10" s="225">
        <f>IF(ISNUMBER(Datos!I10),Datos!I10," - ")</f>
        <v>337</v>
      </c>
      <c r="E10" s="226">
        <f>IF(ISNUMBER(Datos!J10),Datos!J10," - ")</f>
        <v>269</v>
      </c>
      <c r="F10" s="226">
        <f>IF(ISNUMBER(Datos!K10),Datos!K10," - ")</f>
        <v>228</v>
      </c>
      <c r="G10" s="1034" t="str">
        <f>IF(Datos!E10&lt;&gt;"",Datos!E10,Datos!D10)</f>
        <v>37</v>
      </c>
      <c r="H10" s="227">
        <f>IF(ISNUMBER(Datos!L10),Datos!L10," - ")</f>
        <v>378</v>
      </c>
      <c r="I10" s="1044" t="str">
        <f>IF(ISNUMBER(Datos!AS10/Datos!BM10),Datos!AS10/Datos!BM10," - ")</f>
        <v xml:space="preserve"> - </v>
      </c>
      <c r="J10" s="1045">
        <f>IF(ISNUMBER(Datos!BY10/Datos!CN10),Datos!BY10/Datos!CN10," - ")</f>
        <v>0</v>
      </c>
      <c r="K10" s="230">
        <f t="shared" ref="K10:K12" si="1">IF(ISNUMBER((E10-F10)/C10),(E10-F10)/C10," - ")</f>
        <v>0.12166172106824925</v>
      </c>
      <c r="L10" s="1025">
        <f>IF(ISNUMBER(NºAsuntos!I10/NºAsuntos!G10),(NºAsuntos!I10/NºAsuntos!G10)*11," - ")</f>
        <v>18.236842105263158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4</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9.9028314028314028</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337</v>
      </c>
      <c r="D13" s="1049">
        <f>SUBTOTAL(9,D9:D12)</f>
        <v>337</v>
      </c>
      <c r="E13" s="1050">
        <f>SUBTOTAL(9,E9:E12)</f>
        <v>269</v>
      </c>
      <c r="F13" s="1051">
        <f>SUBTOTAL(9,F9:F12)</f>
        <v>228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21</v>
      </c>
      <c r="B15" s="502" t="str">
        <f>Datos!A15</f>
        <v xml:space="preserve">Jdos. Instrucción                               </v>
      </c>
      <c r="C15" s="225">
        <f t="shared" ref="C15:C17" si="2">IF(ISNUMBER(H15-E15+F15),H15-E15+F15," - ")</f>
        <v>11598</v>
      </c>
      <c r="D15" s="225">
        <f>IF(ISNUMBER(IF(D_I="SI",Datos!I15,Datos!I15+Datos!AC15)),IF(D_I="SI",Datos!I15,Datos!I15+Datos!AC15)," - ")</f>
        <v>11394</v>
      </c>
      <c r="E15" s="226">
        <f>IF(ISNUMBER(IF(D_I="SI",Datos!J15,Datos!J15+Datos!AD15)),IF(D_I="SI",Datos!J15,Datos!J15+Datos!AD15)," - ")</f>
        <v>14928</v>
      </c>
      <c r="F15" s="226">
        <f>IF(ISNUMBER(IF(D_I="SI",Datos!K15,Datos!K15+Datos!AE15)),IF(D_I="SI",Datos!K15,Datos!K15+Datos!AE15)," - ")</f>
        <v>14707</v>
      </c>
      <c r="G15" s="1034" t="str">
        <f>IF(Datos!E15&lt;&gt;"",Datos!E15,Datos!D15)</f>
        <v>03</v>
      </c>
      <c r="H15" s="227">
        <f>IF(ISNUMBER(IF(D_I="SI",Datos!L15,Datos!L15+Datos!AF15)),IF(D_I="SI",Datos!L15,Datos!L15+Datos!AF15)," - ")</f>
        <v>11819</v>
      </c>
      <c r="I15" s="1044" t="str">
        <f>IF(ISNUMBER(Datos!AS15/Datos!BM15),Datos!AS15/Datos!BM15," - ")</f>
        <v xml:space="preserve"> - </v>
      </c>
      <c r="J15" s="1045">
        <f>IF(ISNUMBER(Datos!BY15/Datos!CN15),Datos!BY15/Datos!CN15," - ")</f>
        <v>0</v>
      </c>
      <c r="K15" s="230">
        <f t="shared" ref="K15:K17" si="3">IF(ISNUMBER((E15-F15)/C15),(E15-F15)/C15," - ")</f>
        <v>1.905500948439386E-2</v>
      </c>
      <c r="L15" s="1025">
        <f>IF(ISNUMBER(NºAsuntos!I15/NºAsuntos!G15),(NºAsuntos!I15/NºAsuntos!G15)*11," - ")</f>
        <v>8.8399401645474942</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6</v>
      </c>
      <c r="B17" s="502" t="str">
        <f>Datos!A17</f>
        <v>Jdos. Violencia contra la mujer</v>
      </c>
      <c r="C17" s="225">
        <f t="shared" si="2"/>
        <v>1388</v>
      </c>
      <c r="D17" s="225">
        <f>IF(ISNUMBER(IF(D_I="SI",Datos!I17,Datos!I17+Datos!AC17)),IF(D_I="SI",Datos!I17,Datos!I17+Datos!AC17)," - ")</f>
        <v>1386</v>
      </c>
      <c r="E17" s="226">
        <f>IF(ISNUMBER(IF(D_I="SI",Datos!J17,Datos!J17+Datos!AD17)),IF(D_I="SI",Datos!J17,Datos!J17+Datos!AD17)," - ")</f>
        <v>1960</v>
      </c>
      <c r="F17" s="226">
        <f>IF(ISNUMBER(IF(D_I="SI",Datos!K17,Datos!K17+Datos!AE17)),IF(D_I="SI",Datos!K17,Datos!K17+Datos!AE17)," - ")</f>
        <v>1959</v>
      </c>
      <c r="G17" s="1034" t="str">
        <f>IF(Datos!E17&lt;&gt;"",Datos!E17,Datos!D17)</f>
        <v>37</v>
      </c>
      <c r="H17" s="227">
        <f>IF(ISNUMBER(IF(D_I="SI",Datos!L17,Datos!L17+Datos!AF17)),IF(D_I="SI",Datos!L17,Datos!L17+Datos!AF17)," - ")</f>
        <v>1389</v>
      </c>
      <c r="I17" s="1044" t="str">
        <f>IF(ISNUMBER(Datos!AS17/Datos!BM17),Datos!AS17/Datos!BM17," - ")</f>
        <v xml:space="preserve"> - </v>
      </c>
      <c r="J17" s="1045" t="str">
        <f>IF(ISNUMBER((Datos!BY17+Datos!BZ17)/Datos!CN17),(Datos!BY17+Datos!BZ17)/Datos!CN17," - ")</f>
        <v xml:space="preserve"> - </v>
      </c>
      <c r="K17" s="230">
        <f t="shared" si="3"/>
        <v>7.2046109510086451E-4</v>
      </c>
      <c r="L17" s="1025">
        <f>IF(ISNUMBER(NºAsuntos!I17/NºAsuntos!G17),(NºAsuntos!I17/NºAsuntos!G17)*11," - ")</f>
        <v>7.7993874425727414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12986</v>
      </c>
      <c r="D18" s="1049">
        <f>SUBTOTAL(9,D15:D17)</f>
        <v>12780</v>
      </c>
      <c r="E18" s="1050">
        <f>SUBTOTAL(9,E15:E17)</f>
        <v>16888</v>
      </c>
      <c r="F18" s="1050">
        <f>SUBTOTAL(9,F15:F17)</f>
        <v>16666</v>
      </c>
      <c r="G18" s="1052" t="str">
        <f ca="1">INDIRECT(CONCATENATE("G",ROW()-1))</f>
        <v>37</v>
      </c>
      <c r="H18" s="1053">
        <f ca="1">SUMIF(G$14:G17,G18,H$14:H17)</f>
        <v>1389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13323</v>
      </c>
      <c r="D19" s="1071">
        <f>SUBTOTAL(9,D9:D18)</f>
        <v>13117</v>
      </c>
      <c r="E19" s="1072">
        <f>SUBTOTAL(9,E9:E18)</f>
        <v>17157</v>
      </c>
      <c r="F19" s="1072">
        <f>SUBTOTAL(9,F9:F18)</f>
        <v>16894</v>
      </c>
      <c r="G19" s="1073"/>
      <c r="H19" s="1074">
        <f ca="1">SUMIF(B9:B18,"TOTAL",H9:H18)</f>
        <v>1389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NuNAf58arww+6nHGHdS2YuPqmPaRMP+wd1xYEsbg+cbEEr8raoFGcCaoains2U99XuYfXn1PQXPL9SJBsOyRqw==" saltValue="huXs3oMyf/HZDjcKCJuCd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07xeRD3eYinaUHSxIm6+poBG1tQXveQGPLYd4alJHU0W1s3Hpzwa3e2adhrregwkCX4k4NQ9gIJXCdu4vCxhDw==" saltValue="s03EaPB3g1mL7beKROjH7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41311</v>
      </c>
      <c r="J9" s="181">
        <v>14837</v>
      </c>
      <c r="K9" s="181">
        <v>15861</v>
      </c>
      <c r="L9" s="181">
        <v>40502</v>
      </c>
      <c r="M9" s="181">
        <v>3977</v>
      </c>
      <c r="N9" s="181">
        <v>9137</v>
      </c>
      <c r="O9" s="181">
        <v>5347</v>
      </c>
      <c r="P9" s="181">
        <v>2976</v>
      </c>
      <c r="Q9" s="181">
        <v>1852</v>
      </c>
      <c r="R9" s="181">
        <v>32114</v>
      </c>
      <c r="S9" s="181">
        <v>30105</v>
      </c>
      <c r="T9" s="181">
        <v>17535</v>
      </c>
      <c r="U9" s="181">
        <v>13950</v>
      </c>
      <c r="V9" s="181">
        <v>33875</v>
      </c>
      <c r="W9" s="181">
        <v>3498</v>
      </c>
      <c r="X9" s="188">
        <v>7244</v>
      </c>
      <c r="Y9" s="191">
        <v>683</v>
      </c>
      <c r="Z9" s="181">
        <v>1258</v>
      </c>
      <c r="AA9" s="181">
        <v>898</v>
      </c>
      <c r="AB9" s="181">
        <v>1043</v>
      </c>
      <c r="AC9" s="181">
        <v>0</v>
      </c>
      <c r="AD9" s="181">
        <v>0</v>
      </c>
      <c r="AE9" s="181">
        <v>0</v>
      </c>
      <c r="AF9" s="188">
        <v>0</v>
      </c>
      <c r="AG9" s="191">
        <v>966</v>
      </c>
      <c r="AH9" s="181">
        <v>1055</v>
      </c>
      <c r="AI9" s="181">
        <v>1007</v>
      </c>
      <c r="AJ9" s="192">
        <v>1014</v>
      </c>
      <c r="AK9" s="180">
        <v>0</v>
      </c>
      <c r="AL9" s="181">
        <v>0</v>
      </c>
      <c r="AM9" s="181">
        <v>0</v>
      </c>
      <c r="AN9" s="188">
        <v>0</v>
      </c>
      <c r="AO9" s="258">
        <v>26</v>
      </c>
      <c r="AP9" s="154">
        <v>26</v>
      </c>
      <c r="AQ9" s="154">
        <v>26</v>
      </c>
      <c r="AR9" s="193">
        <v>26</v>
      </c>
      <c r="AS9" s="338" t="s">
        <v>791</v>
      </c>
      <c r="AT9" s="195"/>
      <c r="AU9" s="194"/>
      <c r="AV9" s="195"/>
      <c r="AW9" s="194"/>
      <c r="AX9" s="195"/>
      <c r="AY9" s="123">
        <f>IF(ISNUMBER(IF(J_V="SI",S9,S9+AG9)),IF(J_V="SI",S9,S9+AG9)," - ")</f>
        <v>31071</v>
      </c>
      <c r="AZ9" s="123">
        <f>IF(ISNUMBER(IF(J_V="SI",T9,T9+AH9)),IF(J_V="SI",T9,T9+AH9)," - ")</f>
        <v>18590</v>
      </c>
      <c r="BA9" s="124">
        <f>IF(ISNUMBER(IF(J_V="SI",U9,U9+AI9)),IF(J_V="SI",U9,U9+AI9)," - ")</f>
        <v>14957</v>
      </c>
      <c r="BB9" s="124">
        <f>IF(ISNUMBER(IF(J_V="SI",V9,V9+AJ9)),IF(J_V="SI",V9,V9+AJ9)," - ")</f>
        <v>34889</v>
      </c>
      <c r="BC9" s="125">
        <f>IF(ISNUMBER(X9),X9," - ")</f>
        <v>7244</v>
      </c>
      <c r="BD9" s="126">
        <f>IF(ISNUMBER(BA9/AZ9),BA9/AZ9," - ")</f>
        <v>0.80457235072619693</v>
      </c>
      <c r="BE9" s="127">
        <f>IF(ISNUMBER(BB9/BA9),BB9/BA9, " - ")</f>
        <v>2.3326201778431503</v>
      </c>
      <c r="BF9" s="127">
        <f>IF(ISNUMBER(BC9/BA9),BC9/BA9, " - ")</f>
        <v>0.48432172227050879</v>
      </c>
      <c r="BG9" s="196">
        <f>IF(ISNUMBER((AY9+AZ9)/BA9),(AY9+AZ9)/BA9," - ")</f>
        <v>3.3202513873102895</v>
      </c>
      <c r="BH9" s="154">
        <v>26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337</v>
      </c>
      <c r="J10" s="181">
        <v>269</v>
      </c>
      <c r="K10" s="181">
        <v>228</v>
      </c>
      <c r="L10" s="181">
        <v>378</v>
      </c>
      <c r="M10" s="181">
        <v>99</v>
      </c>
      <c r="N10" s="181">
        <v>105</v>
      </c>
      <c r="O10" s="181">
        <v>52</v>
      </c>
      <c r="P10" s="181">
        <v>45</v>
      </c>
      <c r="Q10" s="181">
        <v>42</v>
      </c>
      <c r="R10" s="181">
        <v>273</v>
      </c>
      <c r="S10" s="181">
        <v>320</v>
      </c>
      <c r="T10" s="181">
        <v>229</v>
      </c>
      <c r="U10" s="181">
        <v>232</v>
      </c>
      <c r="V10" s="181">
        <v>317</v>
      </c>
      <c r="W10" s="181">
        <v>89</v>
      </c>
      <c r="X10" s="188">
        <v>112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6</v>
      </c>
      <c r="AP10" s="155">
        <v>6</v>
      </c>
      <c r="AQ10" s="154">
        <v>6</v>
      </c>
      <c r="AR10" s="155">
        <v>6</v>
      </c>
      <c r="AS10" s="339" t="s">
        <v>785</v>
      </c>
      <c r="AT10" s="192"/>
      <c r="AU10" s="200"/>
      <c r="AV10" s="192"/>
      <c r="AW10" s="200"/>
      <c r="AX10" s="192"/>
      <c r="AY10" s="128">
        <f t="shared" ref="AY10:BC10" si="0">IF(ISNUMBER(S10),S10," - ")</f>
        <v>320</v>
      </c>
      <c r="AZ10" s="129">
        <f t="shared" si="0"/>
        <v>229</v>
      </c>
      <c r="BA10" s="129">
        <f t="shared" si="0"/>
        <v>232</v>
      </c>
      <c r="BB10" s="129">
        <f t="shared" si="0"/>
        <v>317</v>
      </c>
      <c r="BC10" s="125">
        <f t="shared" si="0"/>
        <v>89</v>
      </c>
      <c r="BD10" s="126">
        <f>IF(ISNUMBER(BA10/AZ10),BA10/AZ10," - ")</f>
        <v>1.0131004366812226</v>
      </c>
      <c r="BE10" s="127">
        <f>IF(ISNUMBER(BB10/BA10),BB10/BA10, " - ")</f>
        <v>1.3663793103448276</v>
      </c>
      <c r="BF10" s="127">
        <f>IF(ISNUMBER(BC10/BA10),BC10/BA10, " - ")</f>
        <v>0.38362068965517243</v>
      </c>
      <c r="BG10" s="196">
        <f>IF(ISNUMBER((AY10+AZ10)/BA10),(AY10+AZ10)/BA10," - ")</f>
        <v>2.3663793103448274</v>
      </c>
      <c r="BH10" s="155">
        <v>6</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1294</v>
      </c>
      <c r="J11" s="183">
        <v>1400</v>
      </c>
      <c r="K11" s="183">
        <v>1409</v>
      </c>
      <c r="L11" s="183">
        <v>1285</v>
      </c>
      <c r="M11" s="183">
        <v>620</v>
      </c>
      <c r="N11" s="183">
        <v>583</v>
      </c>
      <c r="O11" s="181">
        <v>649</v>
      </c>
      <c r="P11" s="183">
        <v>180</v>
      </c>
      <c r="Q11" s="183">
        <v>326</v>
      </c>
      <c r="R11" s="183">
        <v>1329</v>
      </c>
      <c r="S11" s="183">
        <v>1522</v>
      </c>
      <c r="T11" s="183">
        <v>1356</v>
      </c>
      <c r="U11" s="183">
        <v>1258</v>
      </c>
      <c r="V11" s="183">
        <v>1620</v>
      </c>
      <c r="W11" s="183">
        <v>645</v>
      </c>
      <c r="X11" s="189">
        <v>474</v>
      </c>
      <c r="Y11" s="191">
        <v>138</v>
      </c>
      <c r="Z11" s="181">
        <v>136</v>
      </c>
      <c r="AA11" s="181">
        <v>145</v>
      </c>
      <c r="AB11" s="181">
        <v>114</v>
      </c>
      <c r="AC11" s="183">
        <v>0</v>
      </c>
      <c r="AD11" s="183">
        <v>0</v>
      </c>
      <c r="AE11" s="183">
        <v>0</v>
      </c>
      <c r="AF11" s="189">
        <v>0</v>
      </c>
      <c r="AG11" s="202">
        <v>165</v>
      </c>
      <c r="AH11" s="183">
        <v>152</v>
      </c>
      <c r="AI11" s="183">
        <v>125</v>
      </c>
      <c r="AJ11" s="203">
        <v>192</v>
      </c>
      <c r="AK11" s="182">
        <v>0</v>
      </c>
      <c r="AL11" s="183">
        <v>0</v>
      </c>
      <c r="AM11" s="183">
        <v>0</v>
      </c>
      <c r="AN11" s="189">
        <v>0</v>
      </c>
      <c r="AO11" s="259">
        <v>4</v>
      </c>
      <c r="AP11" s="155">
        <v>4</v>
      </c>
      <c r="AQ11" s="155">
        <v>4</v>
      </c>
      <c r="AR11" s="154">
        <v>4</v>
      </c>
      <c r="AS11" s="340" t="s">
        <v>793</v>
      </c>
      <c r="AT11" s="203"/>
      <c r="AU11" s="202"/>
      <c r="AV11" s="203"/>
      <c r="AW11" s="202"/>
      <c r="AX11" s="203"/>
      <c r="AY11" s="126">
        <f t="shared" ref="AY11:BB12" si="1">IF(ISNUMBER(IF(J_V="SI",S11,S11+AG11)),IF(J_V="SI",S11,S11+AG11)," - ")</f>
        <v>1687</v>
      </c>
      <c r="AZ11" s="127">
        <f t="shared" si="1"/>
        <v>1508</v>
      </c>
      <c r="BA11" s="127">
        <f t="shared" si="1"/>
        <v>1383</v>
      </c>
      <c r="BB11" s="127">
        <f t="shared" si="1"/>
        <v>1812</v>
      </c>
      <c r="BC11" s="125">
        <f>IF(ISNUMBER(X11),X11," - ")</f>
        <v>474</v>
      </c>
      <c r="BD11" s="126">
        <f t="shared" ref="BD11:BD12" si="2">IF(ISNUMBER(BA11/AZ11),BA11/AZ11," - ")</f>
        <v>0.91710875331564989</v>
      </c>
      <c r="BE11" s="127">
        <f t="shared" ref="BE11:BE12" si="3">IF(ISNUMBER(BB11/BA11),BB11/BA11, " - ")</f>
        <v>1.3101952277657267</v>
      </c>
      <c r="BF11" s="127">
        <f t="shared" ref="BF11:BF12" si="4">IF(ISNUMBER(BC11/BA11),BC11/BA11, " - ")</f>
        <v>0.34273318872017355</v>
      </c>
      <c r="BG11" s="196">
        <f t="shared" ref="BG11:BG12" si="5">IF(ISNUMBER((AY11+AZ11)/BA11),(AY11+AZ11)/BA11," - ")</f>
        <v>2.3101952277657265</v>
      </c>
      <c r="BH11" s="155">
        <v>4</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42942</v>
      </c>
      <c r="J13" s="184">
        <f t="shared" si="6"/>
        <v>16506</v>
      </c>
      <c r="K13" s="184">
        <f t="shared" si="6"/>
        <v>17498</v>
      </c>
      <c r="L13" s="184">
        <f t="shared" si="6"/>
        <v>42165</v>
      </c>
      <c r="M13" s="184">
        <f t="shared" si="6"/>
        <v>4696</v>
      </c>
      <c r="N13" s="184">
        <f t="shared" si="6"/>
        <v>9825</v>
      </c>
      <c r="O13" s="184">
        <f t="shared" si="6"/>
        <v>6048</v>
      </c>
      <c r="P13" s="184">
        <f t="shared" si="6"/>
        <v>3201</v>
      </c>
      <c r="Q13" s="184">
        <f t="shared" si="6"/>
        <v>2220</v>
      </c>
      <c r="R13" s="184">
        <f t="shared" si="6"/>
        <v>33716</v>
      </c>
      <c r="S13" s="184">
        <f t="shared" si="6"/>
        <v>31947</v>
      </c>
      <c r="T13" s="184">
        <f t="shared" si="6"/>
        <v>19120</v>
      </c>
      <c r="U13" s="184">
        <f t="shared" si="6"/>
        <v>15440</v>
      </c>
      <c r="V13" s="184">
        <f t="shared" si="6"/>
        <v>35812</v>
      </c>
      <c r="W13" s="184">
        <f t="shared" si="6"/>
        <v>4232</v>
      </c>
      <c r="X13" s="184">
        <f t="shared" si="6"/>
        <v>7830</v>
      </c>
      <c r="Y13" s="184">
        <f t="shared" si="6"/>
        <v>821</v>
      </c>
      <c r="Z13" s="184">
        <f t="shared" si="6"/>
        <v>1394</v>
      </c>
      <c r="AA13" s="184">
        <f t="shared" si="6"/>
        <v>1043</v>
      </c>
      <c r="AB13" s="184">
        <f t="shared" si="6"/>
        <v>1157</v>
      </c>
      <c r="AC13" s="184">
        <f t="shared" si="6"/>
        <v>0</v>
      </c>
      <c r="AD13" s="184">
        <f t="shared" si="6"/>
        <v>0</v>
      </c>
      <c r="AE13" s="184">
        <f t="shared" si="6"/>
        <v>0</v>
      </c>
      <c r="AF13" s="184">
        <f>SUBTOTAL(9,AF9:AF12)</f>
        <v>0</v>
      </c>
      <c r="AG13" s="184">
        <f t="shared" ref="AG13:AT13" si="7">SUBTOTAL(9,AG8:AG12)</f>
        <v>1131</v>
      </c>
      <c r="AH13" s="184">
        <f t="shared" si="7"/>
        <v>1207</v>
      </c>
      <c r="AI13" s="184">
        <f t="shared" si="7"/>
        <v>1132</v>
      </c>
      <c r="AJ13" s="184">
        <f t="shared" si="7"/>
        <v>1206</v>
      </c>
      <c r="AK13" s="184">
        <f t="shared" si="7"/>
        <v>0</v>
      </c>
      <c r="AL13" s="184">
        <f t="shared" si="7"/>
        <v>0</v>
      </c>
      <c r="AM13" s="184">
        <f t="shared" si="7"/>
        <v>0</v>
      </c>
      <c r="AN13" s="184">
        <f t="shared" si="7"/>
        <v>0</v>
      </c>
      <c r="AO13" s="184">
        <f t="shared" si="7"/>
        <v>36</v>
      </c>
      <c r="AP13" s="184">
        <f t="shared" si="7"/>
        <v>36</v>
      </c>
      <c r="AQ13" s="184">
        <f t="shared" si="7"/>
        <v>36</v>
      </c>
      <c r="AR13" s="184">
        <f t="shared" si="7"/>
        <v>36</v>
      </c>
      <c r="AS13" s="184">
        <f t="shared" si="7"/>
        <v>0</v>
      </c>
      <c r="AT13" s="184">
        <f t="shared" si="7"/>
        <v>0</v>
      </c>
      <c r="AU13" s="204"/>
      <c r="AV13" s="132"/>
      <c r="AW13" s="204"/>
      <c r="AX13" s="132"/>
      <c r="AY13" s="184">
        <f>SUBTOTAL(9,AY8:AY12)</f>
        <v>33078</v>
      </c>
      <c r="AZ13" s="184">
        <f>SUBTOTAL(9,AZ8:AZ12)</f>
        <v>20327</v>
      </c>
      <c r="BA13" s="184">
        <f>SUBTOTAL(9,BA8:BA12)</f>
        <v>16572</v>
      </c>
      <c r="BB13" s="184">
        <f>SUBTOTAL(9,BB8:BB12)</f>
        <v>37018</v>
      </c>
      <c r="BC13" s="184">
        <f>SUBTOTAL(9,BC8:BC12)</f>
        <v>7807</v>
      </c>
      <c r="BD13" s="205">
        <f>IF(ISNUMBER(BA13/AZ13),BA13/AZ13," - ")</f>
        <v>0.81527033010281891</v>
      </c>
      <c r="BE13" s="206">
        <f>IF(ISNUMBER(BB13/BA13),BB13/BA13, " - ")</f>
        <v>2.2337678011103064</v>
      </c>
      <c r="BF13" s="206">
        <f>IF(ISNUMBER(BC13/BA13),BC13/BA13, " - ")</f>
        <v>0.47109582428192132</v>
      </c>
      <c r="BG13" s="207">
        <f>IF(ISNUMBER((AY13+AZ13)/BA13),(AY13+AZ13)/BA13," - ")</f>
        <v>3.222604392951967</v>
      </c>
      <c r="BH13" s="140">
        <f>SUBTOTAL(9,BH8:BH12)</f>
        <v>36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11394</v>
      </c>
      <c r="J15" s="183">
        <v>14928</v>
      </c>
      <c r="K15" s="183">
        <v>14707</v>
      </c>
      <c r="L15" s="183">
        <v>11819</v>
      </c>
      <c r="M15" s="183">
        <v>2156</v>
      </c>
      <c r="N15" s="183">
        <v>8353</v>
      </c>
      <c r="O15" s="181">
        <v>440</v>
      </c>
      <c r="P15" s="183">
        <v>1065</v>
      </c>
      <c r="Q15" s="183">
        <v>988</v>
      </c>
      <c r="R15" s="183">
        <v>1946</v>
      </c>
      <c r="S15" s="183">
        <v>10941</v>
      </c>
      <c r="T15" s="183">
        <v>15627</v>
      </c>
      <c r="U15" s="183">
        <v>15919</v>
      </c>
      <c r="V15" s="183">
        <v>10832</v>
      </c>
      <c r="W15" s="183">
        <v>2215</v>
      </c>
      <c r="X15" s="189">
        <v>9179</v>
      </c>
      <c r="Y15" s="202">
        <v>0</v>
      </c>
      <c r="Z15" s="183">
        <v>0</v>
      </c>
      <c r="AA15" s="183">
        <v>0</v>
      </c>
      <c r="AB15" s="183">
        <v>0</v>
      </c>
      <c r="AC15" s="183">
        <v>2</v>
      </c>
      <c r="AD15" s="183">
        <v>64</v>
      </c>
      <c r="AE15" s="183">
        <v>63</v>
      </c>
      <c r="AF15" s="189">
        <v>3</v>
      </c>
      <c r="AG15" s="202">
        <v>0</v>
      </c>
      <c r="AH15" s="183">
        <v>0</v>
      </c>
      <c r="AI15" s="183">
        <v>0</v>
      </c>
      <c r="AJ15" s="203">
        <v>0</v>
      </c>
      <c r="AK15" s="182">
        <v>5</v>
      </c>
      <c r="AL15" s="183">
        <v>83</v>
      </c>
      <c r="AM15" s="183">
        <v>79</v>
      </c>
      <c r="AN15" s="189">
        <v>9</v>
      </c>
      <c r="AO15" s="259">
        <v>21</v>
      </c>
      <c r="AP15" s="155">
        <v>21</v>
      </c>
      <c r="AQ15" s="155">
        <v>21</v>
      </c>
      <c r="AR15" s="155">
        <v>21</v>
      </c>
      <c r="AS15" s="340" t="s">
        <v>522</v>
      </c>
      <c r="AT15" s="203" t="s">
        <v>326</v>
      </c>
      <c r="AU15" s="202"/>
      <c r="AV15" s="203"/>
      <c r="AW15" s="202"/>
      <c r="AX15" s="203"/>
      <c r="AY15" s="128">
        <f t="shared" ref="AY15:BB16" si="9">IF(ISNUMBER(IF(D_I="SI",S15,S15+AK15)),IF(D_I="SI",S15,S15+AK15)," - ")</f>
        <v>10941</v>
      </c>
      <c r="AZ15" s="129">
        <f t="shared" si="9"/>
        <v>15627</v>
      </c>
      <c r="BA15" s="129">
        <f t="shared" si="9"/>
        <v>15919</v>
      </c>
      <c r="BB15" s="129">
        <f t="shared" si="9"/>
        <v>10832</v>
      </c>
      <c r="BC15" s="125">
        <f>IF(ISNUMBER(W15),W15," - ")</f>
        <v>2215</v>
      </c>
      <c r="BD15" s="126">
        <f>IF(ISNUMBER(BA15/AZ15),BA15/AZ15," - ")</f>
        <v>1.0186856082421449</v>
      </c>
      <c r="BE15" s="127">
        <f>IF(ISNUMBER(BB15/BA15),BB15/BA15, " - ")</f>
        <v>0.68044475155474593</v>
      </c>
      <c r="BF15" s="127">
        <f>IF(ISNUMBER(BC15/BA15),BC15/BA15, " - ")</f>
        <v>0.13914190589861172</v>
      </c>
      <c r="BG15" s="196">
        <f t="shared" ref="BG15:BG16" si="10">IF(ISNUMBER((AY15+AZ15)/BA15),(AY15+AZ15)/BA15," - ")</f>
        <v>1.6689490545888561</v>
      </c>
      <c r="BH15" s="155">
        <v>21</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1386</v>
      </c>
      <c r="J17" s="183">
        <v>1960</v>
      </c>
      <c r="K17" s="183">
        <v>1959</v>
      </c>
      <c r="L17" s="183">
        <v>1389</v>
      </c>
      <c r="M17" s="183">
        <v>110</v>
      </c>
      <c r="N17" s="183">
        <v>1285</v>
      </c>
      <c r="O17" s="183">
        <v>19</v>
      </c>
      <c r="P17" s="183">
        <v>24</v>
      </c>
      <c r="Q17" s="183">
        <v>49</v>
      </c>
      <c r="R17" s="183">
        <v>30</v>
      </c>
      <c r="S17" s="183">
        <v>1465</v>
      </c>
      <c r="T17" s="183">
        <v>2216</v>
      </c>
      <c r="U17" s="183">
        <v>2242</v>
      </c>
      <c r="V17" s="183">
        <v>1439</v>
      </c>
      <c r="W17" s="183">
        <v>136</v>
      </c>
      <c r="X17" s="189">
        <v>1479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6</v>
      </c>
      <c r="AP17" s="155">
        <v>6</v>
      </c>
      <c r="AQ17" s="154">
        <v>6</v>
      </c>
      <c r="AR17" s="155">
        <v>6</v>
      </c>
      <c r="AS17" s="339" t="s">
        <v>784</v>
      </c>
      <c r="AT17" s="209"/>
      <c r="AU17" s="200"/>
      <c r="AV17" s="209"/>
      <c r="AW17" s="200"/>
      <c r="AX17" s="209"/>
      <c r="AY17" s="128">
        <f t="shared" ref="AY17:BB17" si="14">IF(ISNUMBER(S17),S17," - ")</f>
        <v>1465</v>
      </c>
      <c r="AZ17" s="129">
        <f t="shared" si="14"/>
        <v>2216</v>
      </c>
      <c r="BA17" s="129">
        <f t="shared" si="14"/>
        <v>2242</v>
      </c>
      <c r="BB17" s="129">
        <f t="shared" si="14"/>
        <v>1439</v>
      </c>
      <c r="BC17" s="125">
        <f>IF(ISNUMBER(W17),W17," - ")</f>
        <v>136</v>
      </c>
      <c r="BD17" s="126">
        <f>IF(ISNUMBER(BA17/AZ17),BA17/AZ17," - ")</f>
        <v>1.0117328519855595</v>
      </c>
      <c r="BE17" s="127">
        <f>IF(ISNUMBER(BB17/BA17),BB17/BA17, " - ")</f>
        <v>0.64183764495985729</v>
      </c>
      <c r="BF17" s="127">
        <f>IF(ISNUMBER(BC17/BA17),BC17/BA17, " - ")</f>
        <v>6.0660124888492414E-2</v>
      </c>
      <c r="BG17" s="196">
        <f>IF(ISNUMBER((AY17+AZ17)/BA17),(AY17+AZ17)/BA17," - ")</f>
        <v>1.6418376449598573</v>
      </c>
      <c r="BH17" s="155">
        <v>6</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12780</v>
      </c>
      <c r="J18" s="184">
        <f t="shared" si="15"/>
        <v>16888</v>
      </c>
      <c r="K18" s="184">
        <f t="shared" si="15"/>
        <v>16666</v>
      </c>
      <c r="L18" s="184">
        <f t="shared" si="15"/>
        <v>13208</v>
      </c>
      <c r="M18" s="184">
        <f t="shared" si="15"/>
        <v>2266</v>
      </c>
      <c r="N18" s="184">
        <f t="shared" si="15"/>
        <v>9638</v>
      </c>
      <c r="O18" s="184">
        <f t="shared" si="15"/>
        <v>459</v>
      </c>
      <c r="P18" s="184">
        <f t="shared" si="15"/>
        <v>1089</v>
      </c>
      <c r="Q18" s="184">
        <f t="shared" si="15"/>
        <v>1037</v>
      </c>
      <c r="R18" s="184">
        <f t="shared" si="15"/>
        <v>1976</v>
      </c>
      <c r="S18" s="184">
        <f t="shared" si="15"/>
        <v>12406</v>
      </c>
      <c r="T18" s="184">
        <f t="shared" si="15"/>
        <v>17843</v>
      </c>
      <c r="U18" s="184">
        <f t="shared" si="15"/>
        <v>18161</v>
      </c>
      <c r="V18" s="184">
        <f t="shared" si="15"/>
        <v>12271</v>
      </c>
      <c r="W18" s="184">
        <f t="shared" si="15"/>
        <v>2351</v>
      </c>
      <c r="X18" s="184">
        <f t="shared" si="15"/>
        <v>10658</v>
      </c>
      <c r="Y18" s="184">
        <f t="shared" si="15"/>
        <v>0</v>
      </c>
      <c r="Z18" s="184">
        <f t="shared" si="15"/>
        <v>0</v>
      </c>
      <c r="AA18" s="184">
        <f t="shared" si="15"/>
        <v>0</v>
      </c>
      <c r="AB18" s="184">
        <f t="shared" si="15"/>
        <v>0</v>
      </c>
      <c r="AC18" s="184">
        <f t="shared" si="15"/>
        <v>2</v>
      </c>
      <c r="AD18" s="184">
        <f t="shared" si="15"/>
        <v>64</v>
      </c>
      <c r="AE18" s="184">
        <f t="shared" si="15"/>
        <v>63</v>
      </c>
      <c r="AF18" s="184">
        <f t="shared" si="15"/>
        <v>3</v>
      </c>
      <c r="AG18" s="184">
        <f t="shared" si="15"/>
        <v>0</v>
      </c>
      <c r="AH18" s="184">
        <f t="shared" si="15"/>
        <v>0</v>
      </c>
      <c r="AI18" s="184">
        <f t="shared" si="15"/>
        <v>0</v>
      </c>
      <c r="AJ18" s="184">
        <f t="shared" si="15"/>
        <v>0</v>
      </c>
      <c r="AK18" s="184">
        <f t="shared" si="15"/>
        <v>5</v>
      </c>
      <c r="AL18" s="184">
        <f t="shared" si="15"/>
        <v>83</v>
      </c>
      <c r="AM18" s="184">
        <f t="shared" si="15"/>
        <v>79</v>
      </c>
      <c r="AN18" s="184">
        <f t="shared" si="15"/>
        <v>9</v>
      </c>
      <c r="AO18" s="184">
        <f t="shared" si="15"/>
        <v>27</v>
      </c>
      <c r="AP18" s="184">
        <f t="shared" si="15"/>
        <v>27</v>
      </c>
      <c r="AQ18" s="184">
        <f t="shared" si="15"/>
        <v>27</v>
      </c>
      <c r="AR18" s="184">
        <f t="shared" si="15"/>
        <v>27</v>
      </c>
      <c r="AS18" s="184">
        <f t="shared" si="15"/>
        <v>0</v>
      </c>
      <c r="AT18" s="184">
        <f t="shared" si="15"/>
        <v>0</v>
      </c>
      <c r="AU18" s="204"/>
      <c r="AV18" s="132"/>
      <c r="AW18" s="204"/>
      <c r="AX18" s="132"/>
      <c r="AY18" s="184">
        <f>SUBTOTAL(9,AY14:AY17)</f>
        <v>12406</v>
      </c>
      <c r="AZ18" s="184">
        <f>SUBTOTAL(9,AZ14:AZ17)</f>
        <v>17843</v>
      </c>
      <c r="BA18" s="184">
        <f>SUBTOTAL(9,BA14:BA17)</f>
        <v>18161</v>
      </c>
      <c r="BB18" s="184">
        <f>SUBTOTAL(9,BB14:BB17)</f>
        <v>12271</v>
      </c>
      <c r="BC18" s="184">
        <f>SUBTOTAL(9,BC14:BC17)</f>
        <v>2351</v>
      </c>
      <c r="BD18" s="205">
        <f>IF(ISNUMBER(BA18/AZ18),BA18/AZ18," - ")</f>
        <v>1.0178221151151712</v>
      </c>
      <c r="BE18" s="206">
        <f>IF(ISNUMBER(BB18/BA18),BB18/BA18, " - ")</f>
        <v>0.67567865205660482</v>
      </c>
      <c r="BF18" s="206">
        <f>IF(ISNUMBER(BC18/BA18),BC18/BA18, " - ")</f>
        <v>0.12945322394141293</v>
      </c>
      <c r="BG18" s="207">
        <f>IF(ISNUMBER((AY18+AZ18)/BA18),(AY18+AZ18)/BA18," - ")</f>
        <v>1.665602114421012</v>
      </c>
      <c r="BH18" s="184">
        <f>SUBTOTAL(9,BH14:BH17)</f>
        <v>27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55722</v>
      </c>
      <c r="J19" s="134">
        <f t="shared" si="18"/>
        <v>33394</v>
      </c>
      <c r="K19" s="134">
        <f t="shared" si="18"/>
        <v>34164</v>
      </c>
      <c r="L19" s="134">
        <f t="shared" si="18"/>
        <v>55373</v>
      </c>
      <c r="M19" s="134">
        <f t="shared" si="18"/>
        <v>6962</v>
      </c>
      <c r="N19" s="134">
        <f t="shared" si="18"/>
        <v>19463</v>
      </c>
      <c r="O19" s="134">
        <f t="shared" si="18"/>
        <v>6507</v>
      </c>
      <c r="P19" s="134">
        <f t="shared" si="18"/>
        <v>4290</v>
      </c>
      <c r="Q19" s="134">
        <f t="shared" si="18"/>
        <v>3257</v>
      </c>
      <c r="R19" s="134">
        <f t="shared" si="18"/>
        <v>35692</v>
      </c>
      <c r="S19" s="134">
        <f t="shared" si="18"/>
        <v>44353</v>
      </c>
      <c r="T19" s="134">
        <f t="shared" si="18"/>
        <v>36963</v>
      </c>
      <c r="U19" s="134">
        <f t="shared" si="18"/>
        <v>33601</v>
      </c>
      <c r="V19" s="134">
        <f t="shared" si="18"/>
        <v>48083</v>
      </c>
      <c r="W19" s="134">
        <f t="shared" si="18"/>
        <v>6583</v>
      </c>
      <c r="X19" s="134">
        <f t="shared" si="18"/>
        <v>18488</v>
      </c>
      <c r="Y19" s="134">
        <f t="shared" si="18"/>
        <v>821</v>
      </c>
      <c r="Z19" s="134">
        <f t="shared" si="18"/>
        <v>1394</v>
      </c>
      <c r="AA19" s="134">
        <f t="shared" si="18"/>
        <v>1043</v>
      </c>
      <c r="AB19" s="134">
        <f t="shared" si="18"/>
        <v>1157</v>
      </c>
      <c r="AC19" s="134">
        <f t="shared" si="18"/>
        <v>2</v>
      </c>
      <c r="AD19" s="134">
        <f t="shared" si="18"/>
        <v>64</v>
      </c>
      <c r="AE19" s="134">
        <f t="shared" si="18"/>
        <v>63</v>
      </c>
      <c r="AF19" s="134">
        <f t="shared" si="18"/>
        <v>3</v>
      </c>
      <c r="AG19" s="134">
        <f t="shared" si="18"/>
        <v>1131</v>
      </c>
      <c r="AH19" s="134">
        <f t="shared" si="18"/>
        <v>1207</v>
      </c>
      <c r="AI19" s="134">
        <f t="shared" si="18"/>
        <v>1132</v>
      </c>
      <c r="AJ19" s="134">
        <f t="shared" si="18"/>
        <v>1206</v>
      </c>
      <c r="AK19" s="134">
        <f t="shared" si="18"/>
        <v>5</v>
      </c>
      <c r="AL19" s="134">
        <f t="shared" si="18"/>
        <v>83</v>
      </c>
      <c r="AM19" s="134">
        <f t="shared" si="18"/>
        <v>79</v>
      </c>
      <c r="AN19" s="210">
        <f t="shared" si="18"/>
        <v>9</v>
      </c>
      <c r="AO19" s="211">
        <v>57</v>
      </c>
      <c r="AP19" s="211">
        <v>57</v>
      </c>
      <c r="AQ19" s="211">
        <v>57</v>
      </c>
      <c r="AR19" s="211">
        <v>57</v>
      </c>
      <c r="AS19" s="153">
        <f t="shared" si="18"/>
        <v>0</v>
      </c>
      <c r="AT19" s="153">
        <f t="shared" si="18"/>
        <v>0</v>
      </c>
      <c r="AU19" s="211"/>
      <c r="AV19" s="212"/>
      <c r="AW19" s="211"/>
      <c r="AX19" s="212"/>
      <c r="AY19" s="133">
        <f>SUBTOTAL(9,AY9:AY18)</f>
        <v>45484</v>
      </c>
      <c r="AZ19" s="134">
        <f>SUBTOTAL(9,AZ9:AZ18)</f>
        <v>38170</v>
      </c>
      <c r="BA19" s="134">
        <f>SUBTOTAL(9,BA9:BA18)</f>
        <v>34733</v>
      </c>
      <c r="BB19" s="134">
        <f>SUBTOTAL(9,BB9:BB18)</f>
        <v>49289</v>
      </c>
      <c r="BC19" s="135">
        <f>SUBTOTAL(9,BC9:BC18)</f>
        <v>10158</v>
      </c>
      <c r="BD19" s="213">
        <f>IF(ISNUMBER(BA19/AZ19),BA19/AZ19," - ")</f>
        <v>0.90995546240503011</v>
      </c>
      <c r="BE19" s="210">
        <f>IF(ISNUMBER(BB19/BA19),BB19/BA19, " - ")</f>
        <v>1.4190827167247286</v>
      </c>
      <c r="BF19" s="210">
        <f>IF(ISNUMBER(BC19/BA19),BC19/BA19, " - ")</f>
        <v>0.29245962053378632</v>
      </c>
      <c r="BG19" s="135">
        <f>IF(ISNUMBER((AY19+AZ19)/BA19),(AY19+AZ19)/BA19," - ")</f>
        <v>2.4084876054472693</v>
      </c>
      <c r="BH19" s="211">
        <f>SUBTOTAL(9,BH9:BH18)</f>
        <v>63</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N9NpYl0KzbK7c4jal4skAMYPS/jqeOAprx75XAM8OPY5u4TJ3/4fmAzGAKDluCrJa6wVrCayg4N0ReEeNmFhA==" saltValue="45URO0dccdSNCusgyVqMs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ng2MbLNwVQ2wrsqGjfVCg0RGQewcc3os4BQ2YqZGnIsNNwybRjalLupPtqeivtJRO2jkEDRy8wYQMZ69makPQ==" saltValue="pRtbizQ1qSzlKfSmbgTZH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VALENCIA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26</v>
      </c>
      <c r="B9" s="501" t="s">
        <v>246</v>
      </c>
      <c r="C9" s="160" t="str">
        <f>Datos!A9</f>
        <v xml:space="preserve">Jdos. 1ª Instancia   </v>
      </c>
      <c r="D9" s="502"/>
      <c r="E9" s="260">
        <f>IF(ISNUMBER(Datos!AQ9),Datos!AQ9," - ")</f>
        <v>26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1258</v>
      </c>
      <c r="O9" s="334"/>
      <c r="P9" s="334"/>
      <c r="Q9" s="226">
        <f>IF(ISNUMBER(Datos!P9),Datos!P9,0)</f>
        <v>2976</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1852</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1043</v>
      </c>
      <c r="AI9" s="334" t="str">
        <f>IF(ISNUMBER(Datos!CD9),Datos!CD9,"-")</f>
        <v>-</v>
      </c>
      <c r="AJ9" s="334" t="str">
        <f>IF(ISNUMBER(Datos!EN9),Datos!EN9," - ")</f>
        <v xml:space="preserve"> - </v>
      </c>
      <c r="AK9" s="334"/>
      <c r="AL9" s="479"/>
      <c r="AM9" s="335">
        <f>IF(ISNUMBER(Datos!R9),Datos!R9," - ")</f>
        <v>32114</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3977</v>
      </c>
      <c r="BD9" s="229">
        <f>IF(ISNUMBER(Datos!N9),Datos!N9," - ")</f>
        <v>9137</v>
      </c>
      <c r="BE9" s="229" t="str">
        <f>IF(ISNUMBER(Datos!BW9),Datos!BW9," - ")</f>
        <v xml:space="preserve"> - </v>
      </c>
      <c r="BF9" s="228" t="str">
        <f>IF(ISNUMBER(Datos!BX9),Datos!BX9," - ")</f>
        <v xml:space="preserve"> - </v>
      </c>
      <c r="BG9" s="243">
        <f>IF(ISNUMBER(IF(J_V="SI",Datos!K9/Datos!J9,(Datos!K9+Datos!AA9)/(Datos!J9+Datos!Z9))),IF(J_V="SI",Datos!K9/Datos!J9,(Datos!K9+Datos!AA9)/(Datos!J9+Datos!Z9))," - ")</f>
        <v>1.0412550481515999</v>
      </c>
      <c r="BH9" s="260">
        <f>IF(ISNUMBER(((IF(J_V="SI",Datos!L9/Datos!K9,(Datos!L9+Datos!AB9)/(Datos!K9+Datos!AA9)))*11)/factor_trimestre),((IF(J_V="SI",Datos!L9/Datos!K9,(Datos!L9+Datos!AB9)/(Datos!K9+Datos!AA9)))*11)/factor_trimestre," - ")</f>
        <v>7.436899576347038</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3.6269764440141981E-2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6</v>
      </c>
      <c r="B10" s="507" t="s">
        <v>246</v>
      </c>
      <c r="C10" s="7" t="str">
        <f>Datos!A10</f>
        <v>Jdos. Violencia contra la mujer</v>
      </c>
      <c r="D10" s="508"/>
      <c r="E10" s="260">
        <f>IF(ISNUMBER(Datos!AQ10),Datos!AQ10," - ")</f>
        <v>6</v>
      </c>
      <c r="F10" s="225">
        <f>IF(ISNUMBER(Datos!L10+Datos!K10-Datos!J10),Datos!L10+Datos!K10-Datos!J10," - ")</f>
        <v>337</v>
      </c>
      <c r="G10" s="333">
        <f>IF(ISNUMBER(Datos!I10),Datos!I10," - ")</f>
        <v>337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228</v>
      </c>
      <c r="AC10" s="226">
        <f>IF(ISNUMBER(Datos!Q10),Datos!Q10," - ")</f>
        <v>42</v>
      </c>
      <c r="AD10" s="334"/>
      <c r="AE10" s="484"/>
      <c r="AF10" s="332">
        <f>IF(ISNUMBER(Datos!L10),Datos!L10,"-")</f>
        <v>378</v>
      </c>
      <c r="AG10" s="334"/>
      <c r="AH10" s="334"/>
      <c r="AI10" s="334"/>
      <c r="AJ10" s="334"/>
      <c r="AK10" s="334"/>
      <c r="AL10" s="479"/>
      <c r="AM10" s="335">
        <f>IF(ISNUMBER(Datos!R10),Datos!R10," - ")</f>
        <v>273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99</v>
      </c>
      <c r="BD10" s="229">
        <f>IF(ISNUMBER(Datos!N10),Datos!N10," - ")</f>
        <v>105</v>
      </c>
      <c r="BE10" s="229" t="str">
        <f>IF(ISNUMBER(Datos!BW10),Datos!BW10," - ")</f>
        <v xml:space="preserve"> - </v>
      </c>
      <c r="BF10" s="228" t="str">
        <f>IF(ISNUMBER(Datos!BX10),Datos!BX10," - ")</f>
        <v xml:space="preserve"> - </v>
      </c>
      <c r="BG10" s="243">
        <f>IF(ISNUMBER(Datos!K10/Datos!J10),Datos!K10/Datos!J10," - ")</f>
        <v>0.84758364312267653</v>
      </c>
      <c r="BH10" s="260">
        <f>IF(ISNUMBER(((Datos!L10/Datos!K10)*11)/factor_trimestre),((Datos!L10/Datos!K10)*11)/factor_trimestre," - ")</f>
        <v>4.9736842105263159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1.1111111111111112E-2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4</v>
      </c>
      <c r="B11" s="507" t="s">
        <v>246</v>
      </c>
      <c r="C11" s="7" t="str">
        <f>Datos!A11</f>
        <v xml:space="preserve">Jdos. Familia                                   </v>
      </c>
      <c r="D11" s="508"/>
      <c r="E11" s="260">
        <f>IF(ISNUMBER(Datos!AQ11),Datos!AQ11," - ")</f>
        <v>4</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136</v>
      </c>
      <c r="O11" s="334"/>
      <c r="P11" s="334"/>
      <c r="Q11" s="226">
        <f>IF(ISNUMBER(Datos!P11),Datos!P11,0)</f>
        <v>180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326</v>
      </c>
      <c r="AD11" s="334"/>
      <c r="AE11" s="484"/>
      <c r="AF11" s="332" t="str">
        <f>IF(ISNUMBER(IF(J_V="SI",Datos!L11,Datos!L11+Datos!AB11)-IF(Monitorios="SI",Datos!CD11,0)),
                          IF(J_V="SI",Datos!L11,Datos!L11+Datos!AB11)-IF(Monitorios="SI",Datos!CD11,0),
                          " - ")</f>
        <v xml:space="preserve"> - </v>
      </c>
      <c r="AG11" s="334"/>
      <c r="AH11" s="334">
        <f>IF(ISNUMBER(Datos!AB11),Datos!AB11,"-")</f>
        <v>114</v>
      </c>
      <c r="AI11" s="334"/>
      <c r="AJ11" s="334"/>
      <c r="AK11" s="334"/>
      <c r="AL11" s="479"/>
      <c r="AM11" s="335">
        <f>IF(ISNUMBER(Datos!R11),Datos!R11," - ")</f>
        <v>1329</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620</v>
      </c>
      <c r="BD11" s="229">
        <f>IF(ISNUMBER(Datos!N11),Datos!N11," - ")</f>
        <v>583</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1.01171875</v>
      </c>
      <c r="BH11" s="260">
        <f>IF(ISNUMBER(((IF(J_V="SI",Datos!L11/Datos!K11,(Datos!L11+Datos!AB11)/(Datos!K11+Datos!AA11)))*11)/factor_trimestre),((IF(J_V="SI",Datos!L11/Datos!K11,(Datos!L11+Datos!AB11)/(Datos!K11+Datos!AA11)))*11)/factor_trimestre," - ")</f>
        <v>2.7007722007722008</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-9.8983050847457621E-2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36</v>
      </c>
      <c r="F13" s="898">
        <f t="shared" si="0"/>
        <v>337</v>
      </c>
      <c r="G13" s="898">
        <f t="shared" si="0"/>
        <v>337</v>
      </c>
      <c r="H13" s="899">
        <f t="shared" si="0"/>
        <v>0</v>
      </c>
      <c r="I13" s="898">
        <f t="shared" si="0"/>
        <v>0</v>
      </c>
      <c r="J13" s="867">
        <f t="shared" si="0"/>
        <v>0</v>
      </c>
      <c r="K13" s="867">
        <f t="shared" si="0"/>
        <v>0</v>
      </c>
      <c r="L13" s="899">
        <f t="shared" si="0"/>
        <v>0</v>
      </c>
      <c r="M13" s="899">
        <f t="shared" si="0"/>
        <v>0</v>
      </c>
      <c r="N13" s="899">
        <f t="shared" si="0"/>
        <v>1394</v>
      </c>
      <c r="O13" s="900">
        <f t="shared" si="0"/>
        <v>0</v>
      </c>
      <c r="P13" s="900">
        <f t="shared" si="0"/>
        <v>0</v>
      </c>
      <c r="Q13" s="899">
        <f t="shared" si="0"/>
        <v>3201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228</v>
      </c>
      <c r="AC13" s="899">
        <f t="shared" si="1"/>
        <v>2220</v>
      </c>
      <c r="AD13" s="899">
        <f t="shared" si="1"/>
        <v>0</v>
      </c>
      <c r="AE13" s="899">
        <f t="shared" si="1"/>
        <v>0</v>
      </c>
      <c r="AF13" s="899">
        <f t="shared" si="1"/>
        <v>378</v>
      </c>
      <c r="AG13" s="899">
        <f t="shared" si="1"/>
        <v>0</v>
      </c>
      <c r="AH13" s="899">
        <f t="shared" si="1"/>
        <v>1157</v>
      </c>
      <c r="AI13" s="899">
        <f t="shared" si="1"/>
        <v>0</v>
      </c>
      <c r="AJ13" s="899">
        <f t="shared" si="1"/>
        <v>0</v>
      </c>
      <c r="AK13" s="899">
        <f t="shared" si="1"/>
        <v>0</v>
      </c>
      <c r="AL13" s="899">
        <f t="shared" si="1"/>
        <v>0</v>
      </c>
      <c r="AM13" s="899">
        <f t="shared" si="1"/>
        <v>33716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4696</v>
      </c>
      <c r="BD13" s="899">
        <f t="shared" si="1"/>
        <v>9825</v>
      </c>
      <c r="BE13" s="899">
        <f t="shared" si="1"/>
        <v>0</v>
      </c>
      <c r="BF13" s="899">
        <f t="shared" si="1"/>
        <v>0</v>
      </c>
      <c r="BG13" s="899">
        <f>IF(ISNUMBER(Datos!K13/Datos!J13),Datos!K13/Datos!J13," - ")</f>
        <v>1.0600993578092814</v>
      </c>
      <c r="BH13" s="903">
        <f>IF(ISNUMBER(((Datos!L13/Datos!K13)*11)/factor_trimestre),((Datos!L13/Datos!K13)*11)/factor_trimestre," - ")</f>
        <v>7.2291118985026861</v>
      </c>
      <c r="BI13" s="899">
        <f>IF(ISNUMBER('Resol  Asuntos'!D13/NºAsuntos!G13),'Resol  Asuntos'!D13/NºAsuntos!G13," - ")</f>
        <v>0.25327652230192549</v>
      </c>
      <c r="BJ13" s="899" t="str">
        <f>IF(ISNUMBER(Datos!CI13/Datos!CJ13),Datos!CI13/Datos!CJ13," - ")</f>
        <v xml:space="preserve"> - </v>
      </c>
      <c r="BK13" s="899">
        <f>SUBTOTAL(9,BK8:BK12)</f>
        <v>0</v>
      </c>
      <c r="BL13" s="899">
        <f>IF(ISNUMBER((I13-AB13+L13)/(F13)),(I13-AB13+L13)/(F13)," - ")</f>
        <v>-0.67655786350148372</v>
      </c>
      <c r="BM13" s="904">
        <f>SUBTOTAL(9,BM9:BM12)</f>
        <v>-5.1602175296204526E-2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21</v>
      </c>
      <c r="B15" s="594" t="s">
        <v>396</v>
      </c>
      <c r="C15" s="600" t="str">
        <f>Datos!A15</f>
        <v xml:space="preserve">Jdos. Instrucción                               </v>
      </c>
      <c r="D15" s="601"/>
      <c r="E15" s="1165">
        <f>IF(ISNUMBER(Datos!AQ15),Datos!AQ15," - ")</f>
        <v>21</v>
      </c>
      <c r="F15" s="595">
        <f>IF(ISNUMBER(AF15+AB15-Datos!J15-L15),AF15+AB15-Datos!J15-L15," - ")</f>
        <v>11598</v>
      </c>
      <c r="G15" s="598">
        <f>IF(ISNUMBER(IF(D_I="SI",Datos!I15,Datos!I15+Datos!AC15)),IF(D_I="SI",Datos!I15,Datos!I15+Datos!AC15)," - ")</f>
        <v>11394</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1065</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14707</v>
      </c>
      <c r="AC15" s="226">
        <f>IF(ISNUMBER(Datos!Q15),Datos!Q15," - ")</f>
        <v>988</v>
      </c>
      <c r="AD15" s="334"/>
      <c r="AE15" s="484"/>
      <c r="AF15" s="596">
        <f>IF(ISNUMBER(IF(D_I="SI",Datos!L15,Datos!L15+Datos!AF15)),IF(D_I="SI",Datos!L15,Datos!L15+Datos!AF15)," - ")</f>
        <v>11819</v>
      </c>
      <c r="AG15" s="334"/>
      <c r="AH15" s="334"/>
      <c r="AI15" s="334"/>
      <c r="AJ15" s="334"/>
      <c r="AK15" s="334"/>
      <c r="AL15" s="479"/>
      <c r="AM15" s="335">
        <f>IF(ISNUMBER(Datos!R15),Datos!R15," - ")</f>
        <v>1946</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2156</v>
      </c>
      <c r="BD15" s="229">
        <f>IF(ISNUMBER(Datos!N15),Datos!N15," - ")</f>
        <v>8353</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0.98519560557341912</v>
      </c>
      <c r="BH15" s="260">
        <f>IF(ISNUMBER(((IF(D_I="SI",Datos!L15/Datos!K15,(Datos!L15+Datos!AF15)/(Datos!K15+Datos!AE15)))*11)/factor_trimestre),((IF(D_I="SI",Datos!L15/Datos!K15,(Datos!L15+Datos!AF15)/(Datos!K15+Datos!AE15)))*11)/factor_trimestre," - ")</f>
        <v>2.4108927721493165</v>
      </c>
      <c r="BI15" s="243">
        <f>IF(ISNUMBER('Resol  Asuntos'!D15/NºAsuntos!G15),'Resol  Asuntos'!D15/NºAsuntos!G15," - ")</f>
        <v>0.14659685863874344</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6</v>
      </c>
      <c r="B17" s="507" t="s">
        <v>396</v>
      </c>
      <c r="C17" s="7" t="str">
        <f>Datos!A17</f>
        <v>Jdos. Violencia contra la mujer</v>
      </c>
      <c r="D17" s="508"/>
      <c r="E17" s="1025">
        <f>IF(ISNUMBER(Datos!AQ17),Datos!AQ17," - ")</f>
        <v>6</v>
      </c>
      <c r="F17" s="225" t="str">
        <f>IF(ISNUMBER(AF17+AB17-I17-L17),AF17+AB17-I17-L17," - ")</f>
        <v xml:space="preserve"> - </v>
      </c>
      <c r="G17" s="333">
        <f>IF(ISNUMBER(IF(D_I="SI",Datos!I17,Datos!I17+Datos!AC17)),IF(D_I="SI",Datos!I17,Datos!I17+Datos!AC17)," - ")</f>
        <v>1386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24</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1959</v>
      </c>
      <c r="AC17" s="226">
        <f>IF(ISNUMBER(Datos!Q17),Datos!Q17," - ")</f>
        <v>49</v>
      </c>
      <c r="AD17" s="334"/>
      <c r="AE17" s="484"/>
      <c r="AF17" s="332">
        <f>IF(ISNUMBER(Datos!L17),Datos!L17,"-")</f>
        <v>1389</v>
      </c>
      <c r="AG17" s="334"/>
      <c r="AH17" s="334"/>
      <c r="AI17" s="334"/>
      <c r="AJ17" s="334"/>
      <c r="AK17" s="334"/>
      <c r="AL17" s="479"/>
      <c r="AM17" s="335">
        <f>IF(ISNUMBER(Datos!R17),Datos!R17," - ")</f>
        <v>30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110</v>
      </c>
      <c r="BD17" s="229">
        <f>IF(ISNUMBER(Datos!N17),Datos!N17," - ")</f>
        <v>1285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0.9994897959183674</v>
      </c>
      <c r="BH17" s="260">
        <f>IF(ISNUMBER(((IF(D_I="SI",Datos!L17/Datos!K17,(Datos!L17+Datos!AF17)/(Datos!K17+Datos!AE17)))*11)/factor_trimestre),((IF(D_I="SI",Datos!L17/Datos!K17,(Datos!L17+Datos!AF17)/(Datos!K17+Datos!AE17)))*11)/factor_trimestre," - ")</f>
        <v>2.1271056661562024</v>
      </c>
      <c r="BI17" s="243">
        <f>IF(ISNUMBER('Resol  Asuntos'!D17/NºAsuntos!G17),'Resol  Asuntos'!D17/NºAsuntos!G17," - ")</f>
        <v>5.6151097498723837E-2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27</v>
      </c>
      <c r="F18" s="898">
        <f>SUBTOTAL(9,F15:F17)</f>
        <v>11598</v>
      </c>
      <c r="G18" s="898">
        <f>SUBTOTAL(9,G15:G17)</f>
        <v>12780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1089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16666</v>
      </c>
      <c r="AC18" s="899">
        <f t="shared" si="4"/>
        <v>1037</v>
      </c>
      <c r="AD18" s="899">
        <f t="shared" si="4"/>
        <v>0</v>
      </c>
      <c r="AE18" s="899">
        <f t="shared" si="4"/>
        <v>0</v>
      </c>
      <c r="AF18" s="899">
        <f t="shared" si="4"/>
        <v>13208</v>
      </c>
      <c r="AG18" s="899">
        <f t="shared" si="4"/>
        <v>0</v>
      </c>
      <c r="AH18" s="899">
        <f t="shared" si="4"/>
        <v>0</v>
      </c>
      <c r="AI18" s="899">
        <f t="shared" si="4"/>
        <v>0</v>
      </c>
      <c r="AJ18" s="899">
        <f t="shared" si="4"/>
        <v>0</v>
      </c>
      <c r="AK18" s="899">
        <f t="shared" si="4"/>
        <v>0</v>
      </c>
      <c r="AL18" s="899">
        <f t="shared" si="4"/>
        <v>0</v>
      </c>
      <c r="AM18" s="899">
        <f t="shared" si="4"/>
        <v>1976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2266</v>
      </c>
      <c r="BD18" s="899">
        <f t="shared" si="4"/>
        <v>9638</v>
      </c>
      <c r="BE18" s="899">
        <f t="shared" si="4"/>
        <v>0</v>
      </c>
      <c r="BF18" s="899">
        <f t="shared" si="4"/>
        <v>0</v>
      </c>
      <c r="BG18" s="899">
        <f>IF(ISNUMBER(Datos!K18/Datos!J18),Datos!K18/Datos!J18," - ")</f>
        <v>0.98685457129322596</v>
      </c>
      <c r="BH18" s="903">
        <f>IF(ISNUMBER(((Datos!L18/Datos!K18)*11)/factor_trimestre),((Datos!L18/Datos!K18)*11)/factor_trimestre," - ")</f>
        <v>2.3775351014040562</v>
      </c>
      <c r="BI18" s="899">
        <f>SUBTOTAL(9,BI15:BI17)</f>
        <v>0.20274795613746727</v>
      </c>
      <c r="BJ18" s="899">
        <f>SUBTOTAL(9,BJ15:BJ17)</f>
        <v>0</v>
      </c>
      <c r="BK18" s="899">
        <f>SUBTOTAL(9,BK15:BK17)</f>
        <v>0</v>
      </c>
      <c r="BL18" s="899">
        <f>IF(ISNUMBER((I18-AB18+L18)/(F18)),(I18-AB18+L18)/(F18)," - ")</f>
        <v>-1.4369718917054664</v>
      </c>
      <c r="BM18" s="905">
        <f>IF(ISNUMBER((Datos!P18-Datos!Q18)/(Datos!R18-Datos!P18+Datos!Q18)),(Datos!P18-Datos!Q18)/(Datos!R18-Datos!P18+Datos!Q18)," - ")</f>
        <v>2.7027027027027029E-2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63</v>
      </c>
      <c r="F19" s="820">
        <f t="shared" si="6"/>
        <v>11935</v>
      </c>
      <c r="G19" s="820">
        <f t="shared" si="6"/>
        <v>13117</v>
      </c>
      <c r="H19" s="822">
        <f t="shared" si="6"/>
        <v>0</v>
      </c>
      <c r="I19" s="820">
        <f t="shared" si="6"/>
        <v>0</v>
      </c>
      <c r="J19" s="822">
        <f t="shared" si="6"/>
        <v>0</v>
      </c>
      <c r="K19" s="822">
        <f t="shared" si="6"/>
        <v>0</v>
      </c>
      <c r="L19" s="881">
        <f t="shared" si="6"/>
        <v>0</v>
      </c>
      <c r="M19" s="881">
        <f t="shared" si="6"/>
        <v>0</v>
      </c>
      <c r="N19" s="881">
        <f t="shared" si="6"/>
        <v>1394</v>
      </c>
      <c r="O19" s="881">
        <f t="shared" si="6"/>
        <v>0</v>
      </c>
      <c r="P19" s="881">
        <f t="shared" si="6"/>
        <v>0</v>
      </c>
      <c r="Q19" s="822">
        <f t="shared" si="6"/>
        <v>4290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16894</v>
      </c>
      <c r="AC19" s="821">
        <f t="shared" si="7"/>
        <v>3257</v>
      </c>
      <c r="AD19" s="821">
        <f t="shared" si="7"/>
        <v>0</v>
      </c>
      <c r="AE19" s="821">
        <f t="shared" si="7"/>
        <v>0</v>
      </c>
      <c r="AF19" s="828">
        <f t="shared" si="7"/>
        <v>13586</v>
      </c>
      <c r="AG19" s="828">
        <f t="shared" si="7"/>
        <v>0</v>
      </c>
      <c r="AH19" s="828">
        <f t="shared" si="7"/>
        <v>1157</v>
      </c>
      <c r="AI19" s="828">
        <f t="shared" si="7"/>
        <v>0</v>
      </c>
      <c r="AJ19" s="821">
        <f t="shared" si="7"/>
        <v>0</v>
      </c>
      <c r="AK19" s="828">
        <f t="shared" si="7"/>
        <v>0</v>
      </c>
      <c r="AL19" s="828">
        <f t="shared" si="7"/>
        <v>0</v>
      </c>
      <c r="AM19" s="828">
        <f t="shared" si="7"/>
        <v>35692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6962</v>
      </c>
      <c r="BD19" s="820">
        <f t="shared" si="7"/>
        <v>19463</v>
      </c>
      <c r="BE19" s="820">
        <f t="shared" si="7"/>
        <v>0</v>
      </c>
      <c r="BF19" s="830">
        <f t="shared" si="7"/>
        <v>0</v>
      </c>
      <c r="BG19" s="915">
        <f>IF(ISNUMBER(Datos!K19/Datos!J19),Datos!K19/Datos!J19," - ")</f>
        <v>1.0230580343774331</v>
      </c>
      <c r="BH19" s="915">
        <f>IF(ISNUMBER(((Datos!L19/Datos!K19)*11)/factor_trimestre),((Datos!L19/Datos!K19)*11)/factor_trimestre," - ")</f>
        <v>4.862399016508606</v>
      </c>
      <c r="BI19" s="813">
        <f>IF(ISNUMBER(Datos!J19/Datos!I19),Datos!J19/Datos!I19," - ")</f>
        <v>0.59929650766304154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-1.4155006284038543</v>
      </c>
      <c r="BM19" s="889">
        <f>IF(ISNUMBER((Datos!P19-Datos!Q19+R19)/(Datos!R19-Datos!P19+Datos!Q19-R19)),(Datos!P19-Datos!Q19+R19)/(Datos!R19-Datos!P19+Datos!Q19-R19)," - ")</f>
        <v>2.980466834011368E-2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5246.8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13.536986370680884</v>
      </c>
      <c r="F21" s="551">
        <f>IF(ISNUMBER(STDEV(F8:F18)),STDEV(F8:F18),"-")</f>
        <v>6501.5413813443756</v>
      </c>
      <c r="G21" s="552">
        <f>IF(ISNUMBER(STDEV(G8:G18)),STDEV(G8:G18),"-")</f>
        <v>6278.0414700764759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8210.7744031851216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1842.1686883101875</v>
      </c>
      <c r="BD21" s="551"/>
      <c r="BE21" s="551">
        <f>IF(ISNUMBER(STDEV(BE8:BE18)),STDEV(BE8:BE18),"-")</f>
        <v>0</v>
      </c>
      <c r="BF21" s="556">
        <f>IF(ISNUMBER(STDEV(BF8:BF18)),STDEV(BF8:BF18),"-")</f>
        <v>0</v>
      </c>
      <c r="BG21" s="775">
        <f>IF(ISNUMBER(STDEV(BG8:BG18)),STDEV(BG8:BG18),"-")</f>
        <v>6.8820376690879176E-2</v>
      </c>
      <c r="BH21" s="776">
        <f>IF(ISNUMBER(STDEV(BH8:BH18)),STDEV(BH8:BH18),"-")</f>
        <v>2.3563927475484716</v>
      </c>
      <c r="BI21" s="249">
        <f>IF(ISNUMBER(STDEV(BI8:BI18)),STDEV(BI8:BI18),"-")</f>
        <v>8.4467025204624888E-2</v>
      </c>
      <c r="BJ21" s="230" t="str">
        <f>IF(ISNUMBER(BL21/BM21),BL21/BM21," - ")</f>
        <v xml:space="preserve"> - </v>
      </c>
      <c r="BK21" s="575"/>
      <c r="BL21" s="559">
        <f>IF(ISNUMBER(STDEV(BL8:BL18)),STDEV(BL8:BL18),"-")</f>
        <v>0.53769391585241466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LbrHQ4dYPl7uYxvdlN4mhkJyw3V4fR+VAGrByAo7X0QiLc2gDS9WZklWvbsj1Tq1GlVANbxPCy+swJnm7W4kAA==" saltValue="o4cHWJCyUZQ0utvJkq+23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VALENCIA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26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2976</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1852</v>
      </c>
      <c r="AA9" s="332" t="str">
        <f>IF(ISNUMBER(IF(J_V="SI",Datos!L9,Datos!L9+Datos!AB9)-IF(Monitorios="SI",Datos!CD9,0)),
                          IF(J_V="SI",Datos!L9,Datos!L9+Datos!AB9)-IF(Monitorios="SI",Datos!CD9,0),
                          " - ")</f>
        <v xml:space="preserve"> - </v>
      </c>
      <c r="AB9" s="334"/>
      <c r="AC9" s="334"/>
      <c r="AD9" s="484"/>
      <c r="AE9" s="484">
        <f>IF(ISNUMBER(Datos!R9),Datos!R9," - ")</f>
        <v>32114</v>
      </c>
      <c r="AF9" s="229" t="str">
        <f>IF(ISNUMBER(Datos!BV9),Datos!BV9," - ")</f>
        <v xml:space="preserve"> - </v>
      </c>
      <c r="AG9" s="225" t="str">
        <f>IF(ISNUMBER(Datos!DV9),Datos!DV9," - ")</f>
        <v xml:space="preserve"> - </v>
      </c>
      <c r="AH9" s="298"/>
      <c r="AI9" s="227"/>
      <c r="AJ9" s="225">
        <f>IF(ISNUMBER(Datos!M9),Datos!M9," - ")</f>
        <v>3977</v>
      </c>
      <c r="AK9" s="229">
        <f>IF(ISNUMBER(Datos!N9),Datos!N9," - ")</f>
        <v>9137</v>
      </c>
      <c r="AL9" s="229" t="str">
        <f>IF(ISNUMBER(Datos!BW9),Datos!BW9," - ")</f>
        <v xml:space="preserve"> - </v>
      </c>
      <c r="AM9" s="228" t="str">
        <f>IF(ISNUMBER(Datos!BX9),Datos!BX9," - ")</f>
        <v xml:space="preserve"> - </v>
      </c>
      <c r="AN9" s="243"/>
      <c r="AO9" s="260">
        <f>IF(ISNUMBER(((NºAsuntos!I9/NºAsuntos!G9)*11)/factor_trimestre),((NºAsuntos!I9/NºAsuntos!G9)*11)/factor_trimestre," - ")</f>
        <v>7.436899576347038</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3.6269764440141981E-2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6</v>
      </c>
      <c r="B10" s="507" t="s">
        <v>246</v>
      </c>
      <c r="C10" s="7" t="str">
        <f>Datos!A10</f>
        <v>Jdos. Violencia contra la mujer</v>
      </c>
      <c r="D10" s="508"/>
      <c r="E10" s="1168">
        <f>IF(ISNUMBER(Datos!AQ10),Datos!AQ10," - ")</f>
        <v>6</v>
      </c>
      <c r="F10" s="225">
        <f>IF(ISNUMBER(Datos!L10+Datos!K10-Datos!J10),Datos!L10+Datos!K10-Datos!J10," - ")</f>
        <v>337</v>
      </c>
      <c r="G10" s="225">
        <f>IF(ISNUMBER(Datos!I10),Datos!I10," - ")</f>
        <v>337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228</v>
      </c>
      <c r="Z10" s="619">
        <f>IF(ISNUMBER(Datos!Q10),Datos!Q10," - ")</f>
        <v>42</v>
      </c>
      <c r="AA10" s="332">
        <f>IF(ISNUMBER(Datos!L10),Datos!L10,"-")</f>
        <v>378</v>
      </c>
      <c r="AB10" s="334"/>
      <c r="AC10" s="334"/>
      <c r="AD10" s="484"/>
      <c r="AE10" s="484">
        <f>IF(ISNUMBER(Datos!R10),Datos!R10," - ")</f>
        <v>273</v>
      </c>
      <c r="AF10" s="229" t="str">
        <f>IF(ISNUMBER(Datos!BV10),Datos!BV10," - ")</f>
        <v xml:space="preserve"> - </v>
      </c>
      <c r="AG10" s="225" t="str">
        <f>IF(ISNUMBER(Datos!DV10),Datos!DV10," - ")</f>
        <v xml:space="preserve"> - </v>
      </c>
      <c r="AH10" s="298"/>
      <c r="AI10" s="227"/>
      <c r="AJ10" s="225">
        <f>IF(ISNUMBER(Datos!M10),Datos!M10," - ")</f>
        <v>99</v>
      </c>
      <c r="AK10" s="229">
        <f>IF(ISNUMBER(Datos!N10),Datos!N10," - ")</f>
        <v>105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4.9736842105263159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1.1111111111111112E-2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4</v>
      </c>
      <c r="B11" s="507" t="s">
        <v>246</v>
      </c>
      <c r="C11" s="7" t="str">
        <f>Datos!A11</f>
        <v xml:space="preserve">Jdos. Familia                                   </v>
      </c>
      <c r="D11" s="508"/>
      <c r="E11" s="1168">
        <f>IF(ISNUMBER(Datos!AQ11),Datos!AQ11," - ")</f>
        <v>4</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180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326</v>
      </c>
      <c r="AA11" s="332" t="str">
        <f>IF(ISNUMBER(IF(J_V="SI",Datos!L11,Datos!L11+Datos!AB11)-IF(Monitorios="SI",Datos!CD11,0)),
                          IF(J_V="SI",Datos!L11,Datos!L11+Datos!AB11)-IF(Monitorios="SI",Datos!CD11,0),
                          " - ")</f>
        <v xml:space="preserve"> - </v>
      </c>
      <c r="AB11" s="334"/>
      <c r="AC11" s="334"/>
      <c r="AD11" s="484"/>
      <c r="AE11" s="484">
        <f>IF(ISNUMBER(Datos!R11),Datos!R11," - ")</f>
        <v>1329</v>
      </c>
      <c r="AF11" s="229" t="str">
        <f>IF(ISNUMBER(Datos!BV11),Datos!BV11," - ")</f>
        <v xml:space="preserve"> - </v>
      </c>
      <c r="AG11" s="225" t="str">
        <f>IF(ISNUMBER(Datos!DV11),Datos!DV11," - ")</f>
        <v xml:space="preserve"> - </v>
      </c>
      <c r="AH11" s="298"/>
      <c r="AI11" s="227"/>
      <c r="AJ11" s="225">
        <f>IF(ISNUMBER(Datos!M11),Datos!M11," - ")</f>
        <v>620</v>
      </c>
      <c r="AK11" s="229">
        <f>IF(ISNUMBER(Datos!N11),Datos!N11," - ")</f>
        <v>583</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2.7007722007722008</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-9.8983050847457621E-2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36</v>
      </c>
      <c r="F13" s="898">
        <f>SUBTOTAL(9,F8:F12)</f>
        <v>337</v>
      </c>
      <c r="G13" s="898">
        <f>SUBTOTAL(9,G8:G12)</f>
        <v>337</v>
      </c>
      <c r="H13" s="908"/>
      <c r="I13" s="898">
        <f t="shared" ref="I13:N13" si="0">SUBTOTAL(9,I8:I12)</f>
        <v>0</v>
      </c>
      <c r="J13" s="867">
        <f t="shared" si="0"/>
        <v>0</v>
      </c>
      <c r="K13" s="908">
        <f t="shared" si="0"/>
        <v>0</v>
      </c>
      <c r="L13" s="908">
        <f t="shared" si="0"/>
        <v>0</v>
      </c>
      <c r="M13" s="908">
        <f t="shared" si="0"/>
        <v>0</v>
      </c>
      <c r="N13" s="908">
        <f t="shared" si="0"/>
        <v>3201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228</v>
      </c>
      <c r="Z13" s="907">
        <f t="shared" si="2"/>
        <v>2220</v>
      </c>
      <c r="AA13" s="900">
        <f t="shared" si="2"/>
        <v>378</v>
      </c>
      <c r="AB13" s="900">
        <f t="shared" si="2"/>
        <v>0</v>
      </c>
      <c r="AC13" s="900">
        <f t="shared" si="2"/>
        <v>0</v>
      </c>
      <c r="AD13" s="900">
        <f t="shared" si="2"/>
        <v>0</v>
      </c>
      <c r="AE13" s="900">
        <f t="shared" si="2"/>
        <v>33716</v>
      </c>
      <c r="AF13" s="908">
        <f t="shared" si="2"/>
        <v>0</v>
      </c>
      <c r="AG13" s="908">
        <f t="shared" si="2"/>
        <v>0</v>
      </c>
      <c r="AH13" s="908">
        <f t="shared" si="2"/>
        <v>0</v>
      </c>
      <c r="AI13" s="908">
        <f t="shared" si="2"/>
        <v>0</v>
      </c>
      <c r="AJ13" s="908">
        <f t="shared" si="2"/>
        <v>4696</v>
      </c>
      <c r="AK13" s="908">
        <f t="shared" si="2"/>
        <v>9825</v>
      </c>
      <c r="AL13" s="908">
        <f t="shared" si="2"/>
        <v>0</v>
      </c>
      <c r="AM13" s="908">
        <f t="shared" si="2"/>
        <v>0</v>
      </c>
      <c r="AN13" s="908">
        <f t="shared" si="2"/>
        <v>0</v>
      </c>
      <c r="AO13" s="904">
        <f>IF(ISNUMBER(((NºAsuntos!I13/NºAsuntos!G13)*11)/factor_trimestre),((NºAsuntos!I13/NºAsuntos!G13)*11)/factor_trimestre," - ")</f>
        <v>7.0096542797044386</v>
      </c>
      <c r="AP13" s="910" t="str">
        <f>IF(ISNUMBER(Datos!CI13/Datos!CJ13),Datos!CI13/Datos!CJ13," - ")</f>
        <v xml:space="preserve"> - </v>
      </c>
      <c r="AQ13" s="928">
        <f t="shared" ref="AQ13:AV13" si="3">SUBTOTAL(9,AQ9:AQ12)</f>
        <v>0</v>
      </c>
      <c r="AR13" s="928">
        <f t="shared" si="3"/>
        <v>-5.1602175296204526E-2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21</v>
      </c>
      <c r="B15" s="507" t="s">
        <v>396</v>
      </c>
      <c r="C15" s="160" t="str">
        <f>Datos!A15</f>
        <v xml:space="preserve">Jdos. Instrucción                               </v>
      </c>
      <c r="D15" s="502"/>
      <c r="E15" s="1168">
        <f>IF(ISNUMBER(Datos!AQ15),Datos!AQ15," - ")</f>
        <v>21</v>
      </c>
      <c r="F15" s="333">
        <f>IF(ISNUMBER(AA15+Y15-Datos!J15-K15),AA15+Y15-Datos!J15-K15," - ")</f>
        <v>11598</v>
      </c>
      <c r="G15" s="225">
        <f>IF(ISNUMBER(IF(D_I="SI",Datos!I15,Datos!I15+Datos!AC15)),IF(D_I="SI",Datos!I15,Datos!I15+Datos!AC15)," - ")</f>
        <v>11394</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1065</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14707</v>
      </c>
      <c r="Z15" s="619">
        <f>IF(ISNUMBER(Datos!Q15),Datos!Q15," - ")</f>
        <v>988</v>
      </c>
      <c r="AA15" s="332">
        <f>IF(ISNUMBER(IF(D_I="SI",Datos!L15,Datos!L15+Datos!AF15)),IF(D_I="SI",Datos!L15,Datos!L15+Datos!AF15)," - ")</f>
        <v>11819</v>
      </c>
      <c r="AB15" s="334"/>
      <c r="AC15" s="334"/>
      <c r="AD15" s="484"/>
      <c r="AE15" s="484">
        <f>IF(ISNUMBER(Datos!R15),Datos!R15," - ")</f>
        <v>1946</v>
      </c>
      <c r="AF15" s="229" t="str">
        <f>IF(ISNUMBER(Datos!BV15),Datos!BV15," - ")</f>
        <v xml:space="preserve"> - </v>
      </c>
      <c r="AG15" s="225"/>
      <c r="AH15" s="298"/>
      <c r="AI15" s="227"/>
      <c r="AJ15" s="225">
        <f>IF(ISNUMBER(Datos!M15),Datos!M15," - ")</f>
        <v>2156</v>
      </c>
      <c r="AK15" s="229">
        <f>IF(ISNUMBER(Datos!N15),Datos!N15," - ")</f>
        <v>8353</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2.4108927721493165</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6</v>
      </c>
      <c r="B17" s="507" t="s">
        <v>396</v>
      </c>
      <c r="C17" s="7" t="str">
        <f>Datos!A17</f>
        <v>Jdos. Violencia contra la mujer</v>
      </c>
      <c r="D17" s="508"/>
      <c r="E17" s="1168">
        <f>IF(ISNUMBER(Datos!AQ17),Datos!AQ17," - ")</f>
        <v>6</v>
      </c>
      <c r="F17" s="225" t="str">
        <f>IF(ISNUMBER(AA17+Y17-I17-K17),AA17+Y17-I17-K17," - ")</f>
        <v xml:space="preserve"> - </v>
      </c>
      <c r="G17" s="523">
        <f>IF(ISNUMBER(IF(D_I="SI",Datos!I17,Datos!I17+Datos!AC17)),IF(D_I="SI",Datos!I17,Datos!I17+Datos!AC17)," - ")</f>
        <v>1386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24</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1959</v>
      </c>
      <c r="Z17" s="619">
        <f>IF(ISNUMBER(Datos!Q17),Datos!Q17," - ")</f>
        <v>49</v>
      </c>
      <c r="AA17" s="332">
        <f>IF(ISNUMBER(Datos!L17),Datos!L17,"-")</f>
        <v>1389</v>
      </c>
      <c r="AB17" s="334"/>
      <c r="AC17" s="334"/>
      <c r="AD17" s="484"/>
      <c r="AE17" s="484">
        <f>IF(ISNUMBER(Datos!R17),Datos!R17," - ")</f>
        <v>30</v>
      </c>
      <c r="AF17" s="229" t="str">
        <f>IF(ISNUMBER(Datos!BV17),Datos!BV17," - ")</f>
        <v xml:space="preserve"> - </v>
      </c>
      <c r="AG17" s="225" t="str">
        <f>IF(ISNUMBER(Datos!DV17),Datos!DV17," - ")</f>
        <v xml:space="preserve"> - </v>
      </c>
      <c r="AH17" s="298"/>
      <c r="AI17" s="227"/>
      <c r="AJ17" s="225">
        <f>IF(ISNUMBER(Datos!M17),Datos!M17," - ")</f>
        <v>110</v>
      </c>
      <c r="AK17" s="229">
        <f>IF(ISNUMBER(Datos!N17),Datos!N17," - ")</f>
        <v>1285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2.1271056661562024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27</v>
      </c>
      <c r="F18" s="898">
        <f>SUBTOTAL(9,F15:F17)</f>
        <v>11598</v>
      </c>
      <c r="G18" s="898">
        <f>SUBTOTAL(9,G15:G17)</f>
        <v>12780</v>
      </c>
      <c r="H18" s="932">
        <f>SUBTOTAL(9,H15:H17)</f>
        <v>0</v>
      </c>
      <c r="I18" s="911">
        <f>SUBTOTAL(9,I15:I17)</f>
        <v>0</v>
      </c>
      <c r="J18" s="867">
        <f>SUBTOTAL(9,J14:J17)</f>
        <v>0</v>
      </c>
      <c r="K18" s="932">
        <f t="shared" ref="K18:S18" si="4">SUBTOTAL(9,K15:K17)</f>
        <v>0</v>
      </c>
      <c r="L18" s="932">
        <f t="shared" si="4"/>
        <v>0</v>
      </c>
      <c r="M18" s="932">
        <f t="shared" si="4"/>
        <v>0</v>
      </c>
      <c r="N18" s="932">
        <f t="shared" si="4"/>
        <v>1089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16666</v>
      </c>
      <c r="Z18" s="932">
        <f t="shared" si="5"/>
        <v>1037</v>
      </c>
      <c r="AA18" s="932">
        <f t="shared" si="5"/>
        <v>13208</v>
      </c>
      <c r="AB18" s="932">
        <f t="shared" si="5"/>
        <v>0</v>
      </c>
      <c r="AC18" s="932">
        <f t="shared" si="5"/>
        <v>0</v>
      </c>
      <c r="AD18" s="932">
        <f t="shared" si="5"/>
        <v>0</v>
      </c>
      <c r="AE18" s="932">
        <f t="shared" si="5"/>
        <v>1976</v>
      </c>
      <c r="AF18" s="932">
        <f t="shared" si="5"/>
        <v>0</v>
      </c>
      <c r="AG18" s="932">
        <f t="shared" si="5"/>
        <v>0</v>
      </c>
      <c r="AH18" s="932">
        <f t="shared" si="5"/>
        <v>0</v>
      </c>
      <c r="AI18" s="932">
        <f t="shared" si="5"/>
        <v>0</v>
      </c>
      <c r="AJ18" s="932">
        <f t="shared" si="5"/>
        <v>2266</v>
      </c>
      <c r="AK18" s="932">
        <f t="shared" si="5"/>
        <v>9638</v>
      </c>
      <c r="AL18" s="932">
        <f t="shared" si="5"/>
        <v>0</v>
      </c>
      <c r="AM18" s="932">
        <f t="shared" si="5"/>
        <v>0</v>
      </c>
      <c r="AN18" s="932">
        <f t="shared" si="5"/>
        <v>0</v>
      </c>
      <c r="AO18" s="934">
        <f>IF(ISNUMBER(((NºAsuntos!I18/NºAsuntos!G18)*11)/factor_trimestre),((NºAsuntos!I18/NºAsuntos!G18)*11)/factor_trimestre," - ")</f>
        <v>2.3775351014040562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63</v>
      </c>
      <c r="F19" s="820">
        <f t="shared" si="7"/>
        <v>11935</v>
      </c>
      <c r="G19" s="820">
        <f t="shared" si="7"/>
        <v>13117</v>
      </c>
      <c r="H19" s="821">
        <f t="shared" si="7"/>
        <v>0</v>
      </c>
      <c r="I19" s="820">
        <f t="shared" si="7"/>
        <v>0</v>
      </c>
      <c r="J19" s="822">
        <f t="shared" si="7"/>
        <v>0</v>
      </c>
      <c r="K19" s="820">
        <f t="shared" si="7"/>
        <v>0</v>
      </c>
      <c r="L19" s="823">
        <f t="shared" si="7"/>
        <v>0</v>
      </c>
      <c r="M19" s="820">
        <f t="shared" si="7"/>
        <v>0</v>
      </c>
      <c r="N19" s="821">
        <f t="shared" si="7"/>
        <v>4290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16894</v>
      </c>
      <c r="Z19" s="827">
        <f t="shared" si="8"/>
        <v>3257</v>
      </c>
      <c r="AA19" s="828">
        <f t="shared" si="8"/>
        <v>13586</v>
      </c>
      <c r="AB19" s="828">
        <f t="shared" si="8"/>
        <v>0</v>
      </c>
      <c r="AC19" s="828">
        <f t="shared" si="8"/>
        <v>0</v>
      </c>
      <c r="AD19" s="829">
        <f t="shared" si="8"/>
        <v>0</v>
      </c>
      <c r="AE19" s="829">
        <f t="shared" si="8"/>
        <v>35692</v>
      </c>
      <c r="AF19" s="830">
        <f t="shared" si="8"/>
        <v>0</v>
      </c>
      <c r="AG19" s="831">
        <f t="shared" si="8"/>
        <v>0</v>
      </c>
      <c r="AH19" s="832">
        <f t="shared" si="8"/>
        <v>0</v>
      </c>
      <c r="AI19" s="830">
        <f t="shared" si="8"/>
        <v>0</v>
      </c>
      <c r="AJ19" s="820">
        <f t="shared" si="8"/>
        <v>6962</v>
      </c>
      <c r="AK19" s="820">
        <f t="shared" si="8"/>
        <v>19463</v>
      </c>
      <c r="AL19" s="820">
        <f t="shared" si="8"/>
        <v>0</v>
      </c>
      <c r="AM19" s="833">
        <f t="shared" si="8"/>
        <v>0</v>
      </c>
      <c r="AN19" s="823">
        <f>IF(ISNUMBER(Datos!K19/Datos!J19),Datos!K19/Datos!J19," - ")</f>
        <v>1.0230580343774331</v>
      </c>
      <c r="AO19" s="823">
        <f>IF(ISNUMBER(FIND("06",Criterios!A8,1)),(IF(ISNUMBER(((Datos!R19/Datos!Q19)*11)/factor_trimestre),((Datos!R19/Datos!Q19)*11)/factor_trimestre," - ")),(IF(ISNUMBER(((Datos!L19/Datos!K19)*11)/factor_trimestre),((Datos!L19/Datos!K19)*11)/factor_trimestre," - ")))</f>
        <v>4.862399016508606</v>
      </c>
      <c r="AP19" s="834" t="str">
        <f>IF(ISNUMBER(Datos!CI19/Datos!CJ19),Datos!CI19/Datos!CJ19," - ")</f>
        <v xml:space="preserve"> - </v>
      </c>
      <c r="AQ19" s="834">
        <f>IF(OR(ISNUMBER(FIND("01",Criterios!A8,1)),ISNUMBER(FIND("02",Criterios!A8,1)),ISNUMBER(FIND("03",Criterios!A8,1)),ISNUMBER(FIND("04",Criterios!A8,1))),(J19-Y19+K19)/(F19-K19),(I19-Y19+K19)/(F19-K19))</f>
        <v>-1.4155006284038543</v>
      </c>
      <c r="AR19" s="834">
        <f>IF(ISNUMBER((Datos!P19-Datos!Q19+O19)/(Datos!R19-Datos!P19+Datos!Q19-O19)),(Datos!P19-Datos!Q19+O19)/(Datos!R19-Datos!P19+Datos!Q19-O19)," - ")</f>
        <v>2.980466834011368E-2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5246.8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6501.5413813443756</v>
      </c>
      <c r="G21" s="552">
        <f>IF(ISNUMBER(STDEV(G8:G18)),STDEV(G8:G18),"-")</f>
        <v>6278.0414700764759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1842.1686883101875</v>
      </c>
      <c r="AK21" s="252"/>
      <c r="AL21" s="252">
        <f>IF(ISNUMBER(STDEV(AL8:AL18)),STDEV(AL8:AL18),"-")</f>
        <v>0</v>
      </c>
      <c r="AM21" s="254">
        <f>IF(ISNUMBER(STDEV(AM8:AM18)),STDEV(AM8:AM18),"-")</f>
        <v>0</v>
      </c>
      <c r="AN21" s="539">
        <f>IF(ISNUMBER(STDEV(AN8:AN18)),STDEV(AN8:AN18),"-")</f>
        <v>0</v>
      </c>
      <c r="AO21" s="540">
        <f>IF(ISNUMBER(STDEV(AO8:AO18)),STDEV(AO8:AO18),"-")</f>
        <v>2.3100595123193779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8qtxD23HL2wt7hCwqFfwmn4gxSg2UfM9GBtiEwEBEbZrRvwN0ouUr4gTrxRo4ptxjPIsSoN/dIZsUnMlu1zrNA==" saltValue="CAMIowHnLL2vb9jDnRWm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eHUVD5dKNMZ7udNhs9FQuFjmAHv5DdPHud03okk/UlfL0PAbzBA2aeeJam8I7QB+kIPz7tdXMiYh6sRRwy6odg==" saltValue="NotL3an++Zpm+QPvPeX3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NgtShKzXppWKse3Mh/qzXt4ausTsZnqPF5B+mrJ5ATwRqX66s7+RYVK7S2rqpjBiRHqV3Ew9F/RQuZYE/8NyA==" saltValue="UelBYQAAVJnb29uexQKzv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VALENCIA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0.25327652230192549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0.17909354643503736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deVQPNVzUBXRluM1wDyrAMjRQctPOVs6vgPPcb1+Bsd0NPt7Nzxn0Mp65waVftt4JvOOWKYQanppsW6MmHhhpg==" saltValue="Ivnp2Y27NUx5l5PEL6bEH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otHZFIpv2qkbtOMGYkimhp+cpceFetStJO7OIRWKClzyg/olroVJdca1pXh/9yk5pcY++jdUQDaOxUpc9asFbQ==" saltValue="+NpZq6ME8d5EXS1WPtX7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VALENCIA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26</v>
      </c>
      <c r="C9" s="403">
        <f>IF(ISNUMBER(IF(J_V="SI",Datos!I9,Datos!I9+Datos!Y9)),IF(J_V="SI",Datos!I9,Datos!I9+Datos!Y9)," - ")</f>
        <v>41994</v>
      </c>
      <c r="D9" s="404">
        <f>IF(ISNUMBER(C9/Datos!BH9),C9/Datos!BH9," - ")</f>
        <v>1615.1538461538462</v>
      </c>
      <c r="E9" s="403">
        <f>IF(ISNUMBER(IF(J_V="SI",Datos!J9,Datos!J9+Datos!Z9)),IF(J_V="SI",Datos!J9,Datos!J9+Datos!Z9)," - ")</f>
        <v>16095</v>
      </c>
      <c r="F9" s="404">
        <f>IF(ISNUMBER(E9/B9),E9/B9," - ")</f>
        <v>619.03846153846155</v>
      </c>
      <c r="G9" s="403">
        <f>IF(ISNUMBER(IF(J_V="SI",Datos!K9,Datos!K9+Datos!AA9)),IF(J_V="SI",Datos!K9,Datos!K9+Datos!AA9)," - ")</f>
        <v>16759</v>
      </c>
      <c r="H9" s="404">
        <f>IF(ISNUMBER(G9/B9),G9/B9," - ")</f>
        <v>644.57692307692309</v>
      </c>
      <c r="I9" s="403">
        <f>IF(ISNUMBER(IF(J_V="SI",Datos!L9,Datos!L9+Datos!AB9)),IF(J_V="SI",Datos!L9,Datos!L9+Datos!AB9)," - ")</f>
        <v>41545</v>
      </c>
      <c r="J9" s="404">
        <f>IF(ISNUMBER(I9/B9),I9/B9," - ")</f>
        <v>1597.8846153846155</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6</v>
      </c>
      <c r="C10" s="403">
        <f>IF(ISNUMBER(Datos!I10),Datos!I10," - ")</f>
        <v>337</v>
      </c>
      <c r="D10" s="404">
        <f>IF(ISNUMBER(C10/Datos!BH10),C10/Datos!BH10," - ")</f>
        <v>56.166666666666664</v>
      </c>
      <c r="E10" s="403">
        <f>IF(ISNUMBER(Datos!J10),Datos!J10," - ")</f>
        <v>269</v>
      </c>
      <c r="F10" s="404">
        <f>IF(ISNUMBER(E10/B10),E10/B10," - ")</f>
        <v>44.833333333333336</v>
      </c>
      <c r="G10" s="403">
        <f>IF(ISNUMBER(Datos!K10),Datos!K10," - ")</f>
        <v>228</v>
      </c>
      <c r="H10" s="404">
        <f>IF(ISNUMBER(G10/B10),G10/B10," - ")</f>
        <v>38</v>
      </c>
      <c r="I10" s="403">
        <f>IF(ISNUMBER(Datos!L10),Datos!L10," - ")</f>
        <v>378</v>
      </c>
      <c r="J10" s="404">
        <f>IF(ISNUMBER(I10/B10),I10/B10," - ")</f>
        <v>63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4</v>
      </c>
      <c r="C11" s="403">
        <f>IF(ISNUMBER(IF(J_V="SI",Datos!I11,Datos!I11+Datos!Y11)),IF(J_V="SI",Datos!I11,Datos!I11+Datos!Y11)," - ")</f>
        <v>1432</v>
      </c>
      <c r="D11" s="404">
        <f>IF(ISNUMBER(C11/Datos!BH11),C11/Datos!BH11," - ")</f>
        <v>358</v>
      </c>
      <c r="E11" s="403">
        <f>IF(ISNUMBER(IF(J_V="SI",Datos!J11,Datos!J11+Datos!Z11)),IF(J_V="SI",Datos!J11,Datos!J11+Datos!Z11)," - ")</f>
        <v>1536</v>
      </c>
      <c r="F11" s="404">
        <f>IF(ISNUMBER(E11/B11),E11/B11," - ")</f>
        <v>384</v>
      </c>
      <c r="G11" s="403">
        <f>IF(ISNUMBER(IF(J_V="SI",Datos!K11,Datos!K11+Datos!AA11)),IF(J_V="SI",Datos!K11,Datos!K11+Datos!AA11)," - ")</f>
        <v>1554</v>
      </c>
      <c r="H11" s="404">
        <f>IF(ISNUMBER(G11/B11),G11/B11," - ")</f>
        <v>388.5</v>
      </c>
      <c r="I11" s="403">
        <f>IF(ISNUMBER(IF(J_V="SI",Datos!L11,Datos!L11+Datos!AB11)),IF(J_V="SI",Datos!L11,Datos!L11+Datos!AB11)," - ")</f>
        <v>1399</v>
      </c>
      <c r="J11" s="404">
        <f>IF(ISNUMBER(I11/B11),I11/B11," - ")</f>
        <v>349.75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36</v>
      </c>
      <c r="C13" s="849">
        <f>SUBTOTAL(9,C8:C12)</f>
        <v>43763</v>
      </c>
      <c r="D13" s="850" t="str">
        <f>IF(ISNUMBER(C13/Datos!BI13),C13/Datos!BI13," - ")</f>
        <v xml:space="preserve"> - </v>
      </c>
      <c r="E13" s="849">
        <f>SUBTOTAL(9,E8:E12)</f>
        <v>17900</v>
      </c>
      <c r="F13" s="850">
        <f>IF(ISNUMBER(E13/B13),E13/B13," - ")</f>
        <v>497.22222222222223</v>
      </c>
      <c r="G13" s="849">
        <f>SUBTOTAL(9,G8:G12)</f>
        <v>18541</v>
      </c>
      <c r="H13" s="850">
        <f>IF(ISNUMBER(G13/B13),G13/B13," - ")</f>
        <v>515.02777777777783</v>
      </c>
      <c r="I13" s="849">
        <f>SUBTOTAL(9,I8:I12)</f>
        <v>43322</v>
      </c>
      <c r="J13" s="850">
        <f>IF(ISNUMBER(I13/B13),I13/B13," - ")</f>
        <v>1203.3888888888889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21</v>
      </c>
      <c r="C15" s="403">
        <f>IF(ISNUMBER(IF(D_I="SI",Datos!I15,Datos!I15+Datos!AC15)),IF(D_I="SI",Datos!I15,Datos!I15+Datos!AC15)," - ")</f>
        <v>11394</v>
      </c>
      <c r="D15" s="404">
        <f>IF(ISNUMBER(C15/Datos!BH15),C15/Datos!BH15," - ")</f>
        <v>542.57142857142856</v>
      </c>
      <c r="E15" s="403">
        <f>IF(ISNUMBER(IF(D_I="SI",Datos!J15,Datos!J15+Datos!AD15)),IF(D_I="SI",Datos!J15,Datos!J15+Datos!AD15)," - ")</f>
        <v>14928</v>
      </c>
      <c r="F15" s="404">
        <f>IF(ISNUMBER(E15/B15),E15/B15," - ")</f>
        <v>710.85714285714289</v>
      </c>
      <c r="G15" s="403">
        <f>IF(ISNUMBER(IF(D_I="SI",Datos!K15,Datos!K15+Datos!AE15)),IF(D_I="SI",Datos!K15,Datos!K15+Datos!AE15)," - ")</f>
        <v>14707</v>
      </c>
      <c r="H15" s="404">
        <f>IF(ISNUMBER(G15/B15),G15/B15," - ")</f>
        <v>700.33333333333337</v>
      </c>
      <c r="I15" s="403">
        <f>IF(ISNUMBER(IF(D_I="SI",Datos!L15,Datos!L15+Datos!AF15)),IF(D_I="SI",Datos!L15,Datos!L15+Datos!AF15)," - ")</f>
        <v>11819</v>
      </c>
      <c r="J15" s="404">
        <f>IF(ISNUMBER(I15/B15),I15/B15," - ")</f>
        <v>562.80952380952385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6</v>
      </c>
      <c r="C17" s="403">
        <f>IF(ISNUMBER(IF(D_I="SI",Datos!I17,Datos!I17+Datos!AC17)),IF(D_I="SI",Datos!I17,Datos!I17+Datos!AC17)," - ")</f>
        <v>1386</v>
      </c>
      <c r="D17" s="404">
        <f>IF(ISNUMBER(C17/Datos!BH17),C17/Datos!BH17," - ")</f>
        <v>231</v>
      </c>
      <c r="E17" s="403">
        <f>IF(ISNUMBER(IF(D_I="SI",Datos!J17,Datos!J17+Datos!AD17)),IF(D_I="SI",Datos!J17,Datos!J17+Datos!AD17)," - ")</f>
        <v>1960</v>
      </c>
      <c r="F17" s="404">
        <f>IF(ISNUMBER(E17/B17),E17/B17," - ")</f>
        <v>326.66666666666669</v>
      </c>
      <c r="G17" s="403">
        <f>IF(ISNUMBER(IF(D_I="SI",Datos!K17,Datos!K17+Datos!AE17)),IF(D_I="SI",Datos!K17,Datos!K17+Datos!AE17)," - ")</f>
        <v>1959</v>
      </c>
      <c r="H17" s="404">
        <f>IF(ISNUMBER(G17/B17),G17/B17," - ")</f>
        <v>326.5</v>
      </c>
      <c r="I17" s="403">
        <f>IF(ISNUMBER(IF(D_I="SI",Datos!L17,Datos!L17+Datos!AF17)),IF(D_I="SI",Datos!L17,Datos!L17+Datos!AF17)," - ")</f>
        <v>1389</v>
      </c>
      <c r="J17" s="404">
        <f>IF(ISNUMBER(I17/B17),I17/B17," - ")</f>
        <v>231.5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27</v>
      </c>
      <c r="C18" s="849">
        <f>SUBTOTAL(9,C14:C17)</f>
        <v>12780</v>
      </c>
      <c r="D18" s="850" t="str">
        <f>IF(ISNUMBER(C18/Datos!BI18),C18/Datos!BI18," - ")</f>
        <v xml:space="preserve"> - </v>
      </c>
      <c r="E18" s="849">
        <f>SUBTOTAL(9,E14:E17)</f>
        <v>16888</v>
      </c>
      <c r="F18" s="850">
        <f>IF(ISNUMBER(E18/B18),E18/B18," - ")</f>
        <v>625.48148148148152</v>
      </c>
      <c r="G18" s="849">
        <f>SUBTOTAL(9,G14:G17)</f>
        <v>16666</v>
      </c>
      <c r="H18" s="850">
        <f>IF(ISNUMBER(G18/B18),G18/B18," - ")</f>
        <v>617.25925925925924</v>
      </c>
      <c r="I18" s="849">
        <f>SUBTOTAL(9,I14:I17)</f>
        <v>13208</v>
      </c>
      <c r="J18" s="850">
        <f>IF(ISNUMBER(I18/B18),I18/B18," - ")</f>
        <v>489.18518518518516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57</v>
      </c>
      <c r="C19" s="794">
        <f>SUBTOTAL(9,C9:C18)</f>
        <v>56543</v>
      </c>
      <c r="D19" s="795" t="str">
        <f>IF(ISNUMBER(C19/Datos!BI19),C19/Datos!BI19," - ")</f>
        <v xml:space="preserve"> - </v>
      </c>
      <c r="E19" s="794">
        <f>SUBTOTAL(9,E9:E18)</f>
        <v>34788</v>
      </c>
      <c r="F19" s="795">
        <f>IF(ISNUMBER(E19/B19),E19/B19," - ")</f>
        <v>610.31578947368416</v>
      </c>
      <c r="G19" s="794">
        <f>SUBTOTAL(9,G9:G18)</f>
        <v>35207</v>
      </c>
      <c r="H19" s="795">
        <f>IF(ISNUMBER(G19/B19),G19/B19," - ")</f>
        <v>617.66666666666663</v>
      </c>
      <c r="I19" s="794">
        <f>SUBTOTAL(9,I9:I18)</f>
        <v>56530</v>
      </c>
      <c r="J19" s="795">
        <f>IF(ISNUMBER(I19/B19),I19/B19," - ")</f>
        <v>991.75438596491233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UB/3Ut2VeaQMqX/3amrX3+VIClCWKlOTBC9AIaVjP9T6uO8v9PIq7s42tz7hfEtnkz9JObeGGgZDUac5e3MS2A==" saltValue="G/tDmWIZbAYT890786UC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VALENCIA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26</v>
      </c>
      <c r="B9" s="501" t="s">
        <v>246</v>
      </c>
      <c r="C9" s="160" t="str">
        <f>Datos!A9</f>
        <v xml:space="preserve">Jdos. 1ª Instancia   </v>
      </c>
      <c r="D9" s="502"/>
      <c r="E9" s="682">
        <f>IF(ISNUMBER(Datos!AQ9),Datos!AQ9," - ")</f>
        <v>26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6</v>
      </c>
      <c r="B10" s="507" t="s">
        <v>246</v>
      </c>
      <c r="C10" s="7" t="str">
        <f>Datos!A10</f>
        <v>Jdos. Violencia contra la mujer</v>
      </c>
      <c r="D10" s="508"/>
      <c r="E10" s="682">
        <f>IF(ISNUMBER(Datos!AQ10),Datos!AQ10," - ")</f>
        <v>6</v>
      </c>
      <c r="F10" s="683">
        <f>IF(ISNUMBER(Datos!L10+Datos!K10-Datos!J10),Datos!L10+Datos!K10-Datos!J10," - ")</f>
        <v>337</v>
      </c>
      <c r="G10" s="684">
        <f>IF(ISNUMBER(Datos!I10),Datos!I10," - ")</f>
        <v>337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228</v>
      </c>
      <c r="AC10" s="683" t="str">
        <f>IF(ISNUMBER(IF(D_I="SI",DatosP!K17,DatosP!K17+DatosP!AE17)),IF(D_I="SI",DatosP!K17,DatosP!K17+DatosP!AE17)," - ")</f>
        <v xml:space="preserve"> - </v>
      </c>
      <c r="AD10" s="685"/>
      <c r="AE10" s="685"/>
      <c r="AF10" s="688">
        <f>IF(ISNUMBER(Datos!L10),Datos!L10,"-")</f>
        <v>378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99</v>
      </c>
      <c r="AM10" s="690">
        <f>IF(ISNUMBER(Datos!N10+DatosP!N17),Datos!N10+DatosP!N17," - ")</f>
        <v>105</v>
      </c>
      <c r="AN10" s="690">
        <f>IF(ISNUMBER(Datos!BW10+DatosP!BW17),Datos!BW10+DatosP!BW17," - ")</f>
        <v>0</v>
      </c>
      <c r="AO10" s="691">
        <f>IF(ISNUMBER(Datos!BX10+DatosP!BX17),Datos!BX10+DatosP!BX17," - ")</f>
        <v>0</v>
      </c>
      <c r="AP10" s="693">
        <f>IF(ISNUMBER(((Datos!L10/Datos!K10)*11)/factor_trimestre),((Datos!L10/Datos!K10)*11)/factor_trimestre," - ")</f>
        <v>4.9736842105263159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4</v>
      </c>
      <c r="B11" s="507" t="s">
        <v>246</v>
      </c>
      <c r="C11" s="7" t="str">
        <f>Datos!A11</f>
        <v xml:space="preserve">Jdos. Familia                                   </v>
      </c>
      <c r="D11" s="508"/>
      <c r="E11" s="682">
        <f>IF(ISNUMBER(Datos!AQ11),Datos!AQ11," - ")</f>
        <v>4</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36</v>
      </c>
      <c r="F13" s="938">
        <f t="shared" si="0"/>
        <v>337</v>
      </c>
      <c r="G13" s="938">
        <f t="shared" si="0"/>
        <v>337</v>
      </c>
      <c r="H13" s="938">
        <f t="shared" si="0"/>
        <v>0</v>
      </c>
      <c r="I13" s="940">
        <f t="shared" si="0"/>
        <v>0</v>
      </c>
      <c r="J13" s="939">
        <f t="shared" si="0"/>
        <v>0</v>
      </c>
      <c r="K13" s="939">
        <f t="shared" si="0"/>
        <v>0</v>
      </c>
      <c r="L13" s="941">
        <f t="shared" si="0"/>
        <v>0</v>
      </c>
      <c r="M13" s="941">
        <f t="shared" si="0"/>
        <v>0</v>
      </c>
      <c r="N13" s="939">
        <f t="shared" si="0"/>
        <v>45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228</v>
      </c>
      <c r="AC13" s="939">
        <f t="shared" si="1"/>
        <v>0</v>
      </c>
      <c r="AD13" s="939">
        <f t="shared" si="1"/>
        <v>0</v>
      </c>
      <c r="AE13" s="939">
        <f t="shared" si="1"/>
        <v>0</v>
      </c>
      <c r="AF13" s="939">
        <f t="shared" si="1"/>
        <v>378</v>
      </c>
      <c r="AG13" s="939">
        <f t="shared" si="1"/>
        <v>0</v>
      </c>
      <c r="AH13" s="939">
        <f t="shared" si="1"/>
        <v>0</v>
      </c>
      <c r="AI13" s="939">
        <f t="shared" si="1"/>
        <v>0</v>
      </c>
      <c r="AJ13" s="939">
        <f t="shared" si="1"/>
        <v>0</v>
      </c>
      <c r="AK13" s="939">
        <f t="shared" si="1"/>
        <v>0</v>
      </c>
      <c r="AL13" s="939">
        <f t="shared" si="1"/>
        <v>99</v>
      </c>
      <c r="AM13" s="939">
        <f t="shared" si="1"/>
        <v>105</v>
      </c>
      <c r="AN13" s="939">
        <f t="shared" si="1"/>
        <v>0</v>
      </c>
      <c r="AO13" s="939">
        <f t="shared" si="1"/>
        <v>0</v>
      </c>
      <c r="AP13" s="944">
        <f>IF(ISNUMBER(((Datos!L13/Datos!K13)*11)/factor_trimestre),((Datos!L13/Datos!K13)*11)/factor_trimestre," - ")</f>
        <v>7.2291118985026861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-0.67655786350148372</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21</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6</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2.3775351014040562</v>
      </c>
      <c r="AQ18" s="944">
        <f>IF(ISNUMBER(((Datos!M18/Datos!L18)*11)/factor_trimestre),((Datos!M18/Datos!L18)*11)/factor_trimestre," - ")</f>
        <v>0.51468806783767418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2.7027027027027029E-2</v>
      </c>
      <c r="AW18" s="946">
        <f>IF(ISNUMBER((Datos!Q18-Datos!R18)/(Datos!S18-Datos!Q18+Datos!R18)),(Datos!Q18-Datos!R18)/(Datos!S18-Datos!Q18+Datos!R18)," - ")</f>
        <v>-7.0363431997002623E-2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36</v>
      </c>
      <c r="F19" s="951">
        <f t="shared" si="4"/>
        <v>337</v>
      </c>
      <c r="G19" s="951">
        <f t="shared" si="4"/>
        <v>337</v>
      </c>
      <c r="H19" s="951">
        <f t="shared" si="4"/>
        <v>0</v>
      </c>
      <c r="I19" s="952">
        <f t="shared" si="4"/>
        <v>0</v>
      </c>
      <c r="J19" s="953">
        <f t="shared" si="4"/>
        <v>0</v>
      </c>
      <c r="K19" s="953">
        <f t="shared" si="4"/>
        <v>0</v>
      </c>
      <c r="L19" s="953">
        <f t="shared" si="4"/>
        <v>0</v>
      </c>
      <c r="M19" s="953">
        <f t="shared" si="4"/>
        <v>0</v>
      </c>
      <c r="N19" s="952">
        <f t="shared" si="4"/>
        <v>45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228</v>
      </c>
      <c r="AC19" s="957">
        <f t="shared" si="5"/>
        <v>0</v>
      </c>
      <c r="AD19" s="957">
        <f t="shared" si="5"/>
        <v>0</v>
      </c>
      <c r="AE19" s="957">
        <f t="shared" si="5"/>
        <v>0</v>
      </c>
      <c r="AF19" s="958">
        <f t="shared" si="5"/>
        <v>378</v>
      </c>
      <c r="AG19" s="958">
        <f t="shared" si="5"/>
        <v>0</v>
      </c>
      <c r="AH19" s="958">
        <f t="shared" si="5"/>
        <v>0</v>
      </c>
      <c r="AI19" s="958">
        <f t="shared" si="5"/>
        <v>0</v>
      </c>
      <c r="AJ19" s="959">
        <f t="shared" si="5"/>
        <v>0</v>
      </c>
      <c r="AK19" s="959">
        <f t="shared" si="5"/>
        <v>0</v>
      </c>
      <c r="AL19" s="951">
        <f t="shared" si="5"/>
        <v>99</v>
      </c>
      <c r="AM19" s="951">
        <f t="shared" si="5"/>
        <v>105</v>
      </c>
      <c r="AN19" s="951">
        <f t="shared" si="5"/>
        <v>0</v>
      </c>
      <c r="AO19" s="951">
        <f t="shared" si="5"/>
        <v>0</v>
      </c>
      <c r="AP19" s="951">
        <f>IF(ISNUMBER(((Datos!L19/Datos!K19)*11)/factor_trimestre),((Datos!L19/Datos!K19)*11)/factor_trimestre," - ")</f>
        <v>4.862399016508606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-0.67655786350148372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2.980466834011368E-2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224.66666666666666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15.231546211727817</v>
      </c>
      <c r="F21" s="736">
        <f>IF(ISNUMBER(STDEV(F8:F18)),STDEV(F8:F18),"-")</f>
        <v>194.56704071690388</v>
      </c>
      <c r="G21" s="737">
        <f>IF(ISNUMBER(STDEV(G8:G18)),STDEV(G8:G18),"-")</f>
        <v>194.56704071690388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131.63586137523467</v>
      </c>
      <c r="AC21" s="738">
        <f>IF(ISNUMBER(STDEV(AC8:AC18)),STDEV(AC8:AC18),"-")</f>
        <v>0</v>
      </c>
      <c r="AD21" s="741"/>
      <c r="AE21" s="741"/>
      <c r="AF21" s="741"/>
      <c r="AG21" s="741"/>
      <c r="AH21" s="741"/>
      <c r="AI21" s="741"/>
      <c r="AJ21" s="742">
        <f>IF(ISNUMBER(STDEV(AJ8:AJ18)),STDEV(AJ8:AJ18),"-")</f>
        <v>0</v>
      </c>
      <c r="AK21" s="744"/>
      <c r="AL21" s="736">
        <f>IF(ISNUMBER(STDEV(AL8:AL18)),STDEV(AL8:AL18),"-")</f>
        <v>57.157676649772952</v>
      </c>
      <c r="AM21" s="736"/>
      <c r="AN21" s="736">
        <f>IF(ISNUMBER(STDEV(AN8:AN18)),STDEV(AN8:AN18),"-")</f>
        <v>0</v>
      </c>
      <c r="AO21" s="742">
        <f>IF(ISNUMBER(STDEV(AO8:AO18)),STDEV(AO8:AO18),"-")</f>
        <v>0</v>
      </c>
      <c r="AP21" s="779">
        <f>IF(ISNUMBER(STDEV(AP8:AP18)),STDEV(AP8:AP18),"-")</f>
        <v>2.4277816235757466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lBOlEc4Str5UP/fECoNm+8y1cpVsRDlD/VIk+dLTSn8jh5oobrz175EpNlEE2xgl4xrZuT4ZGKsEPr4HiXdIng==" saltValue="1zdiviDTWeXtSqesDNWJM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VALENCIA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26</v>
      </c>
      <c r="D9" s="403">
        <f>Datos!BK9</f>
        <v>0</v>
      </c>
      <c r="E9" s="403">
        <f>Datos!AQ9</f>
        <v>26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6</v>
      </c>
      <c r="D10" s="403">
        <f>Datos!BK10</f>
        <v>0</v>
      </c>
      <c r="E10" s="403">
        <f>Datos!AQ10</f>
        <v>6</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4</v>
      </c>
      <c r="D11" s="403">
        <f>Datos!BK11</f>
        <v>0</v>
      </c>
      <c r="E11" s="403">
        <f>Datos!AQ11</f>
        <v>4</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21</v>
      </c>
      <c r="D15" s="403">
        <f>Datos!BK15</f>
        <v>0</v>
      </c>
      <c r="E15" s="403">
        <f>Datos!AQ15</f>
        <v>21</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6</v>
      </c>
      <c r="D17" s="403">
        <f>Datos!BK17</f>
        <v>0</v>
      </c>
      <c r="E17" s="403">
        <f>Datos!AQ17</f>
        <v>6</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jgfZrljAyJgEdwnY4ue514t48IWCVYXnSmCdCqPlw0hcRK+3fJhbNeoDqRi5+dxKKlxbJpZDzedFYl31ltjoGA==" saltValue="LHxI164btNCXF0rceLwnL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VALENCIA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26</v>
      </c>
      <c r="C9" s="410">
        <f>Datos!AQ9</f>
        <v>26</v>
      </c>
      <c r="D9" s="403">
        <f>IF(ISNUMBER(Datos!M9),Datos!M9," - ")</f>
        <v>3977</v>
      </c>
      <c r="E9" s="404">
        <f t="shared" ref="E9:E13" si="0">IF(ISNUMBER(D9/B9),D9/B9," - ")</f>
        <v>152.96153846153845</v>
      </c>
      <c r="F9" s="403">
        <f>IF(ISNUMBER(Datos!N9),Datos!N9," - ")</f>
        <v>9137</v>
      </c>
      <c r="G9" s="404">
        <f t="shared" ref="G9:G13" si="1">IF(ISNUMBER(F9/B9),F9/B9," - ")</f>
        <v>351.42307692307691</v>
      </c>
      <c r="H9" s="403">
        <f>IF(ISNUMBER(Datos!O9),Datos!O9," - ")</f>
        <v>5347</v>
      </c>
      <c r="I9" s="404">
        <f>IF(ISNUMBER(H9/B9),H9/B9," - ")</f>
        <v>205.65384615384616</v>
      </c>
      <c r="BZ9" s="1186">
        <f>Datos!EZ9</f>
        <v>0</v>
      </c>
    </row>
    <row r="10" spans="1:78">
      <c r="A10" s="402" t="str">
        <f>Datos!A10</f>
        <v>Jdos. Violencia contra la mujer</v>
      </c>
      <c r="B10" s="427">
        <f>Datos!AO10</f>
        <v>6</v>
      </c>
      <c r="C10" s="410">
        <f>Datos!AQ10</f>
        <v>6</v>
      </c>
      <c r="D10" s="403">
        <f>IF(ISNUMBER(Datos!M10),Datos!M10," - ")</f>
        <v>99</v>
      </c>
      <c r="E10" s="404">
        <f>IF(ISNUMBER(D10/B10),D10/B10," - ")</f>
        <v>16.5</v>
      </c>
      <c r="F10" s="403">
        <f>IF(ISNUMBER(Datos!N10),Datos!N10," - ")</f>
        <v>105</v>
      </c>
      <c r="G10" s="404">
        <f>IF(ISNUMBER(F10/B10),F10/B10," - ")</f>
        <v>17.5</v>
      </c>
      <c r="H10" s="403">
        <f>IF(ISNUMBER(Datos!O10),Datos!O10," - ")</f>
        <v>52</v>
      </c>
      <c r="I10" s="404">
        <f t="shared" ref="I10:I12" si="2">IF(ISNUMBER(H10/B10),H10/B10," - ")</f>
        <v>8.6666666666666661</v>
      </c>
      <c r="BZ10" s="1186">
        <f>Datos!EZ10</f>
        <v>0</v>
      </c>
    </row>
    <row r="11" spans="1:78">
      <c r="A11" s="402" t="str">
        <f>Datos!A11</f>
        <v xml:space="preserve">Jdos. Familia                                   </v>
      </c>
      <c r="B11" s="427">
        <f>Datos!AO11</f>
        <v>4</v>
      </c>
      <c r="C11" s="410">
        <f>Datos!AQ11</f>
        <v>4</v>
      </c>
      <c r="D11" s="403">
        <f>IF(ISNUMBER(Datos!M11),Datos!M11," - ")</f>
        <v>620</v>
      </c>
      <c r="E11" s="404">
        <f t="shared" si="0"/>
        <v>155</v>
      </c>
      <c r="F11" s="403">
        <f>IF(ISNUMBER(Datos!N11),Datos!N11," - ")</f>
        <v>583</v>
      </c>
      <c r="G11" s="404">
        <f t="shared" si="1"/>
        <v>145.75</v>
      </c>
      <c r="H11" s="403">
        <f>IF(ISNUMBER(Datos!O11),Datos!O11," - ")</f>
        <v>649</v>
      </c>
      <c r="I11" s="404">
        <f t="shared" si="2"/>
        <v>162.25</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36</v>
      </c>
      <c r="C13" s="851">
        <f>Datos!AR13</f>
        <v>36</v>
      </c>
      <c r="D13" s="849">
        <f>SUBTOTAL(9,D9:D12)</f>
        <v>4696</v>
      </c>
      <c r="E13" s="850">
        <f t="shared" si="0"/>
        <v>130.44444444444446</v>
      </c>
      <c r="F13" s="849">
        <f>SUBTOTAL(9,F9:F12)</f>
        <v>9825</v>
      </c>
      <c r="G13" s="850">
        <f t="shared" si="1"/>
        <v>272.91666666666669</v>
      </c>
      <c r="H13" s="849">
        <f>SUBTOTAL(9,H9:H12)</f>
        <v>6048</v>
      </c>
      <c r="I13" s="850">
        <f>IF(ISNUMBER(H13/B13),H13/B13," - ")</f>
        <v>168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21</v>
      </c>
      <c r="C15" s="428">
        <f>Datos!AQ15</f>
        <v>21</v>
      </c>
      <c r="D15" s="403">
        <f>IF(ISNUMBER(Datos!M15),Datos!M15," - ")</f>
        <v>2156</v>
      </c>
      <c r="E15" s="404">
        <f t="shared" ref="E15:E18" si="3">IF(ISNUMBER(D15/B15),D15/B15," - ")</f>
        <v>102.66666666666667</v>
      </c>
      <c r="F15" s="403">
        <f>IF(ISNUMBER(Datos!N15),Datos!N15," - ")</f>
        <v>8353</v>
      </c>
      <c r="G15" s="404">
        <f t="shared" ref="G15:G18" si="4">IF(ISNUMBER(F15/B15),F15/B15," - ")</f>
        <v>397.76190476190476</v>
      </c>
      <c r="H15" s="403">
        <f>IF(ISNUMBER(Datos!O15),Datos!O15," - ")</f>
        <v>440</v>
      </c>
      <c r="I15" s="404">
        <f t="shared" ref="I15:I17" si="5">IF(ISNUMBER(H15/B15),H15/B15," - ")</f>
        <v>20.952380952380953</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6</v>
      </c>
      <c r="C17" s="428">
        <f>Datos!AQ17</f>
        <v>6</v>
      </c>
      <c r="D17" s="403">
        <f>IF(ISNUMBER(Datos!M17),Datos!M17," - ")</f>
        <v>110</v>
      </c>
      <c r="E17" s="404">
        <f>IF(ISNUMBER(D17/B17),D17/B17," - ")</f>
        <v>18.333333333333332</v>
      </c>
      <c r="F17" s="403">
        <f>IF(ISNUMBER(Datos!N17),Datos!N17," - ")</f>
        <v>1285</v>
      </c>
      <c r="G17" s="404">
        <f>IF(ISNUMBER(F17/B17),F17/B17," - ")</f>
        <v>214.16666666666666</v>
      </c>
      <c r="H17" s="403">
        <f>IF(ISNUMBER(Datos!O17),Datos!O17," - ")</f>
        <v>19</v>
      </c>
      <c r="I17" s="404">
        <f t="shared" si="5"/>
        <v>3.1666666666666665</v>
      </c>
      <c r="BZ17" s="1186">
        <f>Datos!EZ17</f>
        <v>0</v>
      </c>
    </row>
    <row r="18" spans="1:78" ht="14.25" thickTop="1" thickBot="1">
      <c r="A18" s="848" t="str">
        <f>Datos!A18</f>
        <v>TOTAL</v>
      </c>
      <c r="B18" s="849">
        <f>Datos!AP18</f>
        <v>27</v>
      </c>
      <c r="C18" s="851">
        <f>Datos!AR18</f>
        <v>27</v>
      </c>
      <c r="D18" s="849">
        <f>SUBTOTAL(9,D15:D17)</f>
        <v>2266</v>
      </c>
      <c r="E18" s="850">
        <f t="shared" si="3"/>
        <v>83.925925925925924</v>
      </c>
      <c r="F18" s="849">
        <f>SUBTOTAL(9,F15:F17)</f>
        <v>9638</v>
      </c>
      <c r="G18" s="850">
        <f t="shared" si="4"/>
        <v>356.96296296296299</v>
      </c>
      <c r="H18" s="849">
        <f>SUBTOTAL(9,H15:H17)</f>
        <v>459</v>
      </c>
      <c r="I18" s="850">
        <f>IF(ISNUMBER(H18/B18),H18/B18," - ")</f>
        <v>17</v>
      </c>
      <c r="BZ18" s="1186"/>
    </row>
    <row r="19" spans="1:78" ht="14.25" thickTop="1" thickBot="1">
      <c r="A19" s="793" t="str">
        <f>Datos!A19</f>
        <v>TOTAL JURISDICCIONES</v>
      </c>
      <c r="B19" s="794">
        <f>Datos!AP19</f>
        <v>57</v>
      </c>
      <c r="C19" s="794">
        <f>Datos!AR19</f>
        <v>57</v>
      </c>
      <c r="D19" s="794">
        <f>SUBTOTAL(9,D8:D18)</f>
        <v>6962</v>
      </c>
      <c r="E19" s="795">
        <f>IF(ISNUMBER(D19/B19),D19/B19," - ")</f>
        <v>122.14035087719299</v>
      </c>
      <c r="F19" s="794">
        <f>SUBTOTAL(9,F8:F18)</f>
        <v>19463</v>
      </c>
      <c r="G19" s="795">
        <f>IF(ISNUMBER(F19/B19),F19/B19," - ")</f>
        <v>341.45614035087721</v>
      </c>
      <c r="H19" s="794">
        <f>SUBTOTAL(9,H8:H18)</f>
        <v>6507</v>
      </c>
      <c r="I19" s="795">
        <f>IF(ISNUMBER(H19/B19),H19/B19," - ")</f>
        <v>114.15789473684211</v>
      </c>
    </row>
    <row r="22" spans="1:78">
      <c r="A22" s="391" t="str">
        <f>Criterios!A4</f>
        <v>Fecha Informe: 24 sep. 2025</v>
      </c>
    </row>
    <row r="27" spans="1:78">
      <c r="A27" s="414"/>
    </row>
  </sheetData>
  <sheetProtection algorithmName="SHA-512" hashValue="CsF/PZvhELO/u+j8FdUWlzrzDdBUfFPA4Q/ZCLgU9ra9zmShdbmFaiwOpHtDfZnvamvDFKBPvHJVGM29ojqBpQ==" saltValue="RtAsOiT3vsIw4B4dnyqe8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VALENCIA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2976</v>
      </c>
      <c r="C9" s="434">
        <f>IF(ISNUMBER(Datos!Q9),Datos!Q9," - ")</f>
        <v>1852</v>
      </c>
      <c r="D9" s="408">
        <f>IF(ISNUMBER(Datos!R9),Datos!R9," - ")</f>
        <v>32114</v>
      </c>
    </row>
    <row r="10" spans="1:4">
      <c r="A10" s="402" t="str">
        <f>Datos!A10</f>
        <v>Jdos. Violencia contra la mujer</v>
      </c>
      <c r="B10" s="433">
        <f>IF(ISNUMBER(Datos!P10),Datos!P10," - ")</f>
        <v>45</v>
      </c>
      <c r="C10" s="434">
        <f>IF(ISNUMBER(Datos!Q10),Datos!Q10," - ")</f>
        <v>42</v>
      </c>
      <c r="D10" s="408">
        <f>IF(ISNUMBER(Datos!R10),Datos!R10," - ")</f>
        <v>273</v>
      </c>
    </row>
    <row r="11" spans="1:4">
      <c r="A11" s="402" t="str">
        <f>Datos!A11</f>
        <v xml:space="preserve">Jdos. Familia                                   </v>
      </c>
      <c r="B11" s="433">
        <f>IF(ISNUMBER(Datos!P11),Datos!P11," - ")</f>
        <v>180</v>
      </c>
      <c r="C11" s="434">
        <f>IF(ISNUMBER(Datos!Q11),Datos!Q11," - ")</f>
        <v>326</v>
      </c>
      <c r="D11" s="408">
        <f>IF(ISNUMBER(Datos!R11),Datos!R11," - ")</f>
        <v>1329</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3201</v>
      </c>
      <c r="C13" s="853">
        <f>SUBTOTAL(9,C9:C12)</f>
        <v>2220</v>
      </c>
      <c r="D13" s="851">
        <f>SUBTOTAL(9,D9:D12)</f>
        <v>33716</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1065</v>
      </c>
      <c r="C15" s="434">
        <f>IF(ISNUMBER(Datos!Q15),Datos!Q15," - ")</f>
        <v>988</v>
      </c>
      <c r="D15" s="408">
        <f>IF(ISNUMBER(Datos!R15),Datos!R15," - ")</f>
        <v>1946</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24</v>
      </c>
      <c r="C17" s="434">
        <f>IF(ISNUMBER(Datos!Q17),Datos!Q17," - ")</f>
        <v>49</v>
      </c>
      <c r="D17" s="408">
        <f>IF(ISNUMBER(Datos!R17),Datos!R17," - ")</f>
        <v>30</v>
      </c>
    </row>
    <row r="18" spans="1:4" ht="14.25" thickTop="1" thickBot="1">
      <c r="A18" s="848" t="str">
        <f>Datos!A18</f>
        <v>TOTAL</v>
      </c>
      <c r="B18" s="849">
        <f>SUBTOTAL(9,B15:B17)</f>
        <v>1089</v>
      </c>
      <c r="C18" s="853">
        <f>SUBTOTAL(9,C15:C17)</f>
        <v>1037</v>
      </c>
      <c r="D18" s="851">
        <f>SUBTOTAL(9,D15:D17)</f>
        <v>1976</v>
      </c>
    </row>
    <row r="19" spans="1:4" ht="16.5" customHeight="1" thickTop="1" thickBot="1">
      <c r="A19" s="793" t="str">
        <f>Datos!A19</f>
        <v>TOTAL JURISDICCIONES</v>
      </c>
      <c r="B19" s="798">
        <f>SUBTOTAL(9,B8:B18)</f>
        <v>4290</v>
      </c>
      <c r="C19" s="799">
        <f>SUBTOTAL(9,C8:C18)</f>
        <v>3257</v>
      </c>
      <c r="D19" s="800">
        <f>SUBTOTAL(9,D8:D18)</f>
        <v>35692</v>
      </c>
    </row>
    <row r="20" spans="1:4" ht="7.5" customHeight="1"/>
    <row r="21" spans="1:4" ht="6" customHeight="1"/>
    <row r="22" spans="1:4">
      <c r="A22" s="391" t="str">
        <f>Criterios!A4</f>
        <v>Fecha Informe: 24 sep. 2025</v>
      </c>
    </row>
    <row r="27" spans="1:4">
      <c r="A27" s="414"/>
    </row>
  </sheetData>
  <sheetProtection algorithmName="SHA-512" hashValue="tbj2B39/rA318f6oDnstCje9ZPnyN5VAK36pjp7xafOA1fJscBXu2o/4cwvlHBr4qXVc40zL3o9F+JCxOsMnyw==" saltValue="ByBMaqURhRH1yMJePq0S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VALENCIA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0.35154967654726271</v>
      </c>
      <c r="C9" s="456">
        <f>IF(ISNUMBER(
   IF(J_V="SI",(Datos!J9-Datos!T9)/Datos!T9,(Datos!J9+Datos!Z9-(Datos!T9+Datos!AH9))/(Datos!T9+Datos!AH9))
     ),IF(J_V="SI",(Datos!J9-Datos!T9)/Datos!T9,(Datos!J9+Datos!Z9-(Datos!T9+Datos!AH9))/(Datos!T9+Datos!AH9))," - ")</f>
        <v>-0.13421194190424959</v>
      </c>
      <c r="D9" s="456">
        <f>IF(ISNUMBER(
   IF(J_V="SI",(Datos!K9-Datos!U9)/Datos!U9,(Datos!K9+Datos!AA9-(Datos!U9+Datos!AI9))/(Datos!U9+Datos!AI9))
     ),IF(J_V="SI",(Datos!K9-Datos!U9)/Datos!U9,(Datos!K9+Datos!AA9-(Datos!U9+Datos!AI9))/(Datos!U9+Datos!AI9))," - ")</f>
        <v>0.12047870562278531</v>
      </c>
      <c r="E9" s="456">
        <f>IF(ISNUMBER(
   IF(J_V="SI",(Datos!L9-Datos!V9)/Datos!V9,(Datos!L9+Datos!AB9-(Datos!V9+Datos!AJ9))/(Datos!V9+Datos!AJ9))
     ),IF(J_V="SI",(Datos!L9-Datos!V9)/Datos!V9,(Datos!L9+Datos!AB9-(Datos!V9+Datos!AJ9))/(Datos!V9+Datos!AJ9))," - ")</f>
        <v>0.19077646249534236</v>
      </c>
      <c r="F9" s="456">
        <f>IF(ISNUMBER((Datos!M9-Datos!W9)/Datos!W9),(Datos!M9-Datos!W9)/Datos!W9," - ")</f>
        <v>0.13693539165237278</v>
      </c>
      <c r="G9" s="457">
        <f>IF(ISNUMBER((Datos!N9-Datos!X9)/Datos!X9),(Datos!N9-Datos!X9)/Datos!X9," - ")</f>
        <v>0.26131971286582001</v>
      </c>
      <c r="H9" s="455">
        <f>IF(ISNUMBER(((NºAsuntos!G9/NºAsuntos!E9)-Datos!BD9)/Datos!BD9),((NºAsuntos!G9/NºAsuntos!E9)-Datos!BD9)/Datos!BD9," - ")</f>
        <v>0.29417204955126297</v>
      </c>
      <c r="I9" s="456">
        <f>IF(ISNUMBER(((NºAsuntos!I9/NºAsuntos!G9)-Datos!BE9)/Datos!BE9),((NºAsuntos!I9/NºAsuntos!G9)-Datos!BE9)/Datos!BE9," - ")</f>
        <v>6.2739038698182259E-2</v>
      </c>
      <c r="J9" s="461">
        <f>IF(ISNUMBER((('Resol  Asuntos'!D9/NºAsuntos!G9)-Datos!BF9)/Datos!BF9),(('Resol  Asuntos'!D9/NºAsuntos!G9)-Datos!BF9)/Datos!BF9," - ")</f>
        <v>-0.51002542820559849</v>
      </c>
      <c r="K9" s="462">
        <f>IF(ISNUMBER((((NºAsuntos!C9+NºAsuntos!E9)/NºAsuntos!G9)-Datos!BG9)/Datos!BG9),(((NºAsuntos!C9+NºAsuntos!E9)/NºAsuntos!G9)-Datos!BG9)/Datos!BG9," - ")</f>
        <v>4.3938302670685957E-2</v>
      </c>
    </row>
    <row r="10" spans="1:11">
      <c r="A10" s="402" t="str">
        <f>Datos!A10</f>
        <v>Jdos. Violencia contra la mujer</v>
      </c>
      <c r="B10" s="455">
        <f>IF(ISNUMBER((Datos!I10-Datos!S10)/Datos!S10),(Datos!I10-Datos!S10)/Datos!S10," - ")</f>
        <v>5.3124999999999999E-2</v>
      </c>
      <c r="C10" s="456">
        <f>IF(ISNUMBER((Datos!J10-Datos!T10)/Datos!T10),(Datos!J10-Datos!T10)/Datos!T10," - ")</f>
        <v>0.17467248908296942</v>
      </c>
      <c r="D10" s="456">
        <f>IF(ISNUMBER((Datos!K10-Datos!U10)/Datos!U10),(Datos!K10-Datos!U10)/Datos!U10," - ")</f>
        <v>-1.7241379310344827E-2</v>
      </c>
      <c r="E10" s="456">
        <f>IF(ISNUMBER((Datos!L10-Datos!V10)/Datos!V10),(Datos!L10-Datos!V10)/Datos!V10," - ")</f>
        <v>0.19242902208201892</v>
      </c>
      <c r="F10" s="456">
        <f>IF(ISNUMBER((Datos!M10-Datos!W10)/Datos!W10),(Datos!M10-Datos!W10)/Datos!W10," - ")</f>
        <v>0.11235955056179775</v>
      </c>
      <c r="G10" s="457">
        <f>IF(ISNUMBER((Datos!N10-Datos!X10)/Datos!X10),(Datos!N10-Datos!X10)/Datos!X10," - ")</f>
        <v>-6.25E-2</v>
      </c>
      <c r="H10" s="455">
        <f>IF(ISNUMBER(((NºAsuntos!G10/NºAsuntos!E10)-Datos!BD10)/Datos!BD10),((NºAsuntos!G10/NºAsuntos!E10)-Datos!BD10)/Datos!BD10," - ")</f>
        <v>-0.1633764901935649</v>
      </c>
      <c r="I10" s="456">
        <f>IF(ISNUMBER(((NºAsuntos!I10/NºAsuntos!G10)-Datos!BE10)/Datos!BE10),((NºAsuntos!I10/NºAsuntos!G10)-Datos!BE10)/Datos!BE10," - ")</f>
        <v>0.21334882948696662</v>
      </c>
      <c r="J10" s="461">
        <f>IF(ISNUMBER((('Resol  Asuntos'!D10/NºAsuntos!G10)-Datos!BF10)/Datos!BF10),(('Resol  Asuntos'!D10/NºAsuntos!G10)-Datos!BF10)/Datos!BF10," - ")</f>
        <v>0.13187463039621525</v>
      </c>
      <c r="K10" s="462">
        <f>IF(ISNUMBER((((NºAsuntos!C10+NºAsuntos!E10)/NºAsuntos!G10)-Datos!BG10)/Datos!BG10),(((NºAsuntos!C10+NºAsuntos!E10)/NºAsuntos!G10)-Datos!BG10)/Datos!BG10," - ")</f>
        <v>0.12319048988591709</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-0.15115589804386484</v>
      </c>
      <c r="C11" s="456">
        <f>IF(ISNUMBER(
   IF(J_V="SI",(Datos!J11-Datos!T11)/Datos!T11,(Datos!J11+Datos!Z11-(Datos!T11+Datos!AH11))/(Datos!T11+Datos!AH11))
     ),IF(J_V="SI",(Datos!J11-Datos!T11)/Datos!T11,(Datos!J11+Datos!Z11-(Datos!T11+Datos!AH11))/(Datos!T11+Datos!AH11))," - ")</f>
        <v>1.8567639257294429E-2</v>
      </c>
      <c r="D11" s="456">
        <f>IF(ISNUMBER(
   IF(J_V="SI",(Datos!K11-Datos!U11)/Datos!U11,(Datos!K11+Datos!AA11-(Datos!U11+Datos!AI11))/(Datos!U11+Datos!AI11))
     ),IF(J_V="SI",(Datos!K11-Datos!U11)/Datos!U11,(Datos!K11+Datos!AA11-(Datos!U11+Datos!AI11))/(Datos!U11+Datos!AI11))," - ")</f>
        <v>0.12364425162689804</v>
      </c>
      <c r="E11" s="456">
        <f>IF(ISNUMBER(
   IF(J_V="SI",(Datos!L11-Datos!V11)/Datos!V11,(Datos!L11+Datos!AB11-(Datos!V11+Datos!AJ11))/(Datos!V11+Datos!AJ11))
     ),IF(J_V="SI",(Datos!L11-Datos!V11)/Datos!V11,(Datos!L11+Datos!AB11-(Datos!V11+Datos!AJ11))/(Datos!V11+Datos!AJ11))," - ")</f>
        <v>-0.22792494481236203</v>
      </c>
      <c r="F11" s="456">
        <f>IF(ISNUMBER((Datos!M11-Datos!W11)/Datos!W11),(Datos!M11-Datos!W11)/Datos!W11," - ")</f>
        <v>-3.875968992248062E-2</v>
      </c>
      <c r="G11" s="457">
        <f>IF(ISNUMBER((Datos!N11-Datos!X11)/Datos!X11),(Datos!N11-Datos!X11)/Datos!X11," - ")</f>
        <v>0.22995780590717299</v>
      </c>
      <c r="H11" s="455">
        <f>IF(ISNUMBER(((NºAsuntos!G11/NºAsuntos!E11)-Datos!BD11)/Datos!BD11),((NºAsuntos!G11/NºAsuntos!E11)-Datos!BD11)/Datos!BD11," - ")</f>
        <v>0.10316115328994935</v>
      </c>
      <c r="I11" s="456">
        <f>IF(ISNUMBER(((NºAsuntos!I11/NºAsuntos!G11)-Datos!BE11)/Datos!BE11),((NºAsuntos!I11/NºAsuntos!G11)-Datos!BE11)/Datos!BE11," - ")</f>
        <v>-0.31288301073069286</v>
      </c>
      <c r="J11" s="461">
        <f>IF(ISNUMBER((('Resol  Asuntos'!D11/NºAsuntos!G11)-Datos!BF11)/Datos!BF11),(('Resol  Asuntos'!D11/NºAsuntos!G11)-Datos!BF11)/Datos!BF11," - ")</f>
        <v>0.16408451851489825</v>
      </c>
      <c r="K11" s="462">
        <f>IF(ISNUMBER((((NºAsuntos!C11+NºAsuntos!E11)/NºAsuntos!G11)-Datos!BG11)/Datos!BG11),(((NºAsuntos!C11+NºAsuntos!E11)/NºAsuntos!G11)-Datos!BG11)/Datos!BG11," - ")</f>
        <v>-0.17326904369157883</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0.32302436664852774</v>
      </c>
      <c r="C13" s="855">
        <f>IF(ISNUMBER(
   IF(J_V="SI",(Datos!J13-Datos!T13)/Datos!T13,(Datos!J13+Datos!Z13-(Datos!T13+Datos!AH13))/(Datos!T13+Datos!AH13))
     ),IF(J_V="SI",(Datos!J13-Datos!T13)/Datos!T13,(Datos!J13+Datos!Z13-(Datos!T13+Datos!AH13))/(Datos!T13+Datos!AH13))," - ")</f>
        <v>-0.11939784523048162</v>
      </c>
      <c r="D13" s="855">
        <f>IF(ISNUMBER(
   IF(J_V="SI",(Datos!K13-Datos!U13)/Datos!U13,(Datos!K13+Datos!AA13-(Datos!U13+Datos!AI13))/(Datos!U13+Datos!AI13))
     ),IF(J_V="SI",(Datos!K13-Datos!U13)/Datos!U13,(Datos!K13+Datos!AA13-(Datos!U13+Datos!AI13))/(Datos!U13+Datos!AI13))," - ")</f>
        <v>0.11881486845281197</v>
      </c>
      <c r="E13" s="855">
        <f>IF(ISNUMBER(
   IF(J_V="SI",(Datos!L13-Datos!V13)/Datos!V13,(Datos!L13+Datos!AB13-(Datos!V13+Datos!AJ13))/(Datos!V13+Datos!AJ13))
     ),IF(J_V="SI",(Datos!L13-Datos!V13)/Datos!V13,(Datos!L13+Datos!AB13-(Datos!V13+Datos!AJ13))/(Datos!V13+Datos!AJ13))," - ")</f>
        <v>0.17029553190339836</v>
      </c>
      <c r="F13" s="856">
        <f>IF(ISNUMBER((Datos!M13-Datos!W13)/Datos!W13),(Datos!M13-Datos!W13)/Datos!W13," - ")</f>
        <v>0.10964083175803403</v>
      </c>
      <c r="G13" s="857">
        <f>IF(ISNUMBER((Datos!N13-Datos!X13)/Datos!X13),(Datos!N13-Datos!X13)/Datos!X13," - ")</f>
        <v>0.25478927203065133</v>
      </c>
      <c r="H13" s="857">
        <f>IF(ISNUMBER(((NºAsuntos!G13/NºAsuntos!E13)-Datos!BD13)/Datos!BD13),((NºAsuntos!G13/NºAsuntos!E13)-Datos!BD13)/Datos!BD13," - ")</f>
        <v>0.27051116374526868</v>
      </c>
      <c r="I13" s="857">
        <f>IF(ISNUMBER(((NºAsuntos!I13/NºAsuntos!G13)-Datos!BE13)/Datos!BE13),((NºAsuntos!I13/NºAsuntos!G13)-Datos!BE13)/Datos!BE13," - ")</f>
        <v>4.6013567483043964E-2</v>
      </c>
      <c r="J13" s="857">
        <f>IF(ISNUMBER((('Resol  Asuntos'!D13/NºAsuntos!G13)-Datos!BF13)/Datos!BF13),(('Resol  Asuntos'!D13/NºAsuntos!G13)-Datos!BF13)/Datos!BF13," - ")</f>
        <v>-0.46236729504451018</v>
      </c>
      <c r="K13" s="857">
        <f>IF(ISNUMBER((((NºAsuntos!C13+NºAsuntos!E13)/NºAsuntos!G13)-Datos!BG13)/Datos!BG13),(((NºAsuntos!C13+NºAsuntos!E13)/NºAsuntos!G13)-Datos!BG13)/Datos!BG13," - ")</f>
        <v>3.2011415718323971E-2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4.1403893611187279E-2</v>
      </c>
      <c r="C15" s="456">
        <f>IF(ISNUMBER(
   IF(D_I="SI",(Datos!J15-Datos!T15)/Datos!T15,(Datos!J15+Datos!AD15-(Datos!T15+Datos!AL15))/(Datos!T15+Datos!AL15))
     ),IF(D_I="SI",(Datos!J15-Datos!T15)/Datos!T15,(Datos!J15+Datos!AD15-(Datos!T15+Datos!AL15))/(Datos!T15+Datos!AL15))," - ")</f>
        <v>-4.4730274524860815E-2</v>
      </c>
      <c r="D15" s="456">
        <f>IF(ISNUMBER(
   IF(D_I="SI",(Datos!K15-Datos!U15)/Datos!U15,(Datos!K15+Datos!AE15-(Datos!U15+Datos!AM15))/(Datos!U15+Datos!AM15))
     ),IF(D_I="SI",(Datos!K15-Datos!U15)/Datos!U15,(Datos!K15+Datos!AE15-(Datos!U15+Datos!AM15))/(Datos!U15+Datos!AM15))," - ")</f>
        <v>-7.6135435642942395E-2</v>
      </c>
      <c r="E15" s="456">
        <f>IF(ISNUMBER(
   IF(D_I="SI",(Datos!L15-Datos!V15)/Datos!V15,(Datos!L15+Datos!AF15-(Datos!V15+Datos!AN15))/(Datos!V15+Datos!AN15))
     ),IF(D_I="SI",(Datos!L15-Datos!V15)/Datos!V15,(Datos!L15+Datos!AF15-(Datos!V15+Datos!AN15))/(Datos!V15+Datos!AN15))," - ")</f>
        <v>9.1118906942392913E-2</v>
      </c>
      <c r="F15" s="456">
        <f>IF(ISNUMBER((Datos!M15-Datos!W15)/Datos!W15),(Datos!M15-Datos!W15)/Datos!W15," - ")</f>
        <v>-2.6636568848758466E-2</v>
      </c>
      <c r="G15" s="457">
        <f>IF(ISNUMBER((Datos!N15-Datos!X15)/Datos!X15),(Datos!N15-Datos!X15)/Datos!X15," - ")</f>
        <v>-8.9988016123760756E-2</v>
      </c>
      <c r="H15" s="455">
        <f>IF(ISNUMBER(((NºAsuntos!G15/NºAsuntos!E15)-Datos!BD15)/Datos!BD15),((NºAsuntos!G15/NºAsuntos!E15)-Datos!BD15)/Datos!BD15," - ")</f>
        <v>-3.2875700213843728E-2</v>
      </c>
      <c r="I15" s="456">
        <f>IF(ISNUMBER(((NºAsuntos!I15/NºAsuntos!G15)-Datos!BE15)/Datos!BE15),((NºAsuntos!I15/NºAsuntos!G15)-Datos!BE15)/Datos!BE15," - ")</f>
        <v>0.18103772894648479</v>
      </c>
      <c r="J15" s="461">
        <f>IF(ISNUMBER((('Resol  Asuntos'!D15/NºAsuntos!G15)-Datos!BF15)/Datos!BF15),(('Resol  Asuntos'!D15/NºAsuntos!G15)-Datos!BF15)/Datos!BF15," - ")</f>
        <v>5.3578055381560657E-2</v>
      </c>
      <c r="K15" s="462">
        <f>IF(ISNUMBER((((NºAsuntos!C15+NºAsuntos!E15)/NºAsuntos!G15)-Datos!BG15)/Datos!BG15),(((NºAsuntos!C15+NºAsuntos!E15)/NºAsuntos!G15)-Datos!BG15)/Datos!BG15," - ")</f>
        <v>7.2387424481665255E-2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-5.3924914675767918E-2</v>
      </c>
      <c r="C17" s="456">
        <f>IF(ISNUMBER(
   IF(D_I="SI",(Datos!J17-Datos!T17)/Datos!T17,(Datos!J17+Datos!AD17-(Datos!T17+Datos!AL17))/(Datos!T17+Datos!AL17))
     ),IF(D_I="SI",(Datos!J17-Datos!T17)/Datos!T17,(Datos!J17+Datos!AD17-(Datos!T17+Datos!AL17))/(Datos!T17+Datos!AL17))," - ")</f>
        <v>-0.11552346570397112</v>
      </c>
      <c r="D17" s="456">
        <f>IF(ISNUMBER(
   IF(D_I="SI",(Datos!K17-Datos!U17)/Datos!U17,(Datos!K17+Datos!AE17-(Datos!U17+Datos!AM17))/(Datos!U17+Datos!AM17))
     ),IF(D_I="SI",(Datos!K17-Datos!U17)/Datos!U17,(Datos!K17+Datos!AE17-(Datos!U17+Datos!AM17))/(Datos!U17+Datos!AM17))," - ")</f>
        <v>-0.12622658340767173</v>
      </c>
      <c r="E17" s="456">
        <f>IF(ISNUMBER(
   IF(D_I="SI",(Datos!L17-Datos!V17)/Datos!V17,(Datos!L17+Datos!AF17-(Datos!V17+Datos!AN17))/(Datos!V17+Datos!AN17))
     ),IF(D_I="SI",(Datos!L17-Datos!V17)/Datos!V17,(Datos!L17+Datos!AF17-(Datos!V17+Datos!AN17))/(Datos!V17+Datos!AN17))," - ")</f>
        <v>-3.4746351633078529E-2</v>
      </c>
      <c r="F17" s="456">
        <f>IF(ISNUMBER((Datos!M17-Datos!W17)/Datos!W17),(Datos!M17-Datos!W17)/Datos!W17," - ")</f>
        <v>-0.19117647058823528</v>
      </c>
      <c r="G17" s="457">
        <f>IF(ISNUMBER((Datos!N17-Datos!X17)/Datos!X17),(Datos!N17-Datos!X17)/Datos!X17," - ")</f>
        <v>-0.13116970926301555</v>
      </c>
      <c r="H17" s="455">
        <f>IF(ISNUMBER(((NºAsuntos!G17/NºAsuntos!E17)-Datos!BD17)/Datos!BD17),((NºAsuntos!G17/NºAsuntos!E17)-Datos!BD17)/Datos!BD17," - ")</f>
        <v>-1.2101075934387926E-2</v>
      </c>
      <c r="I17" s="456">
        <f>IF(ISNUMBER(((NºAsuntos!I17/NºAsuntos!G17)-Datos!BE17)/Datos!BE17),((NºAsuntos!I17/NºAsuntos!G17)-Datos!BE17)/Datos!BE17," - ")</f>
        <v>0.10469559961135164</v>
      </c>
      <c r="J17" s="461">
        <f>IF(ISNUMBER((('Resol  Asuntos'!D17/NºAsuntos!G17)-Datos!BF17)/Datos!BF17),(('Resol  Asuntos'!D17/NºAsuntos!G17)-Datos!BF17)/Datos!BF17," - ")</f>
        <v>-7.433264270486141E-2</v>
      </c>
      <c r="K17" s="462">
        <f>IF(ISNUMBER((((NºAsuntos!C17+NºAsuntos!E17)/NºAsuntos!G17)-Datos!BG17)/Datos!BG17),(((NºAsuntos!C17+NºAsuntos!E17)/NºAsuntos!G17)-Datos!BG17)/Datos!BG17," - ")</f>
        <v>4.0306450671251791E-2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3.0146703208125101E-2</v>
      </c>
      <c r="C18" s="855">
        <f>IF(ISNUMBER(
   IF(Criterios!B14="SI",(Datos!J18-Datos!T18)/Datos!T18,(Datos!J18+Datos!AD18-(Datos!T18+Datos!AL18))/(Datos!T18+Datos!AL18))
     ),IF(Criterios!B14="SI",(Datos!J18-Datos!T18)/Datos!T18,(Datos!J18+Datos!AD18-(Datos!T18+Datos!AL18))/(Datos!T18+Datos!AL18))," - ")</f>
        <v>-5.352238973266827E-2</v>
      </c>
      <c r="D18" s="855">
        <f>IF(ISNUMBER(
   IF(Criterios!B14="SI",(Datos!K18-Datos!U18)/Datos!U18,(Datos!K18+Datos!AE18-(Datos!U18+Datos!AM18))/(Datos!U18+Datos!AM18))
     ),IF(Criterios!B14="SI",(Datos!K18-Datos!U18)/Datos!U18,(Datos!K18+Datos!AE18-(Datos!U18+Datos!AM18))/(Datos!U18+Datos!AM18))," - ")</f>
        <v>-8.2319255547601999E-2</v>
      </c>
      <c r="E18" s="855">
        <f>IF(ISNUMBER(
   IF(Criterios!B14="SI",(Datos!L18-Datos!V18)/Datos!V18,(Datos!L18+Datos!AF18-(Datos!V18+Datos!AN18))/(Datos!V18+Datos!AN18))
     ),IF(Criterios!B14="SI",(Datos!L18-Datos!V18)/Datos!V18,(Datos!L18+Datos!AF18-(Datos!V18+Datos!AN18))/(Datos!V18+Datos!AN18))," - ")</f>
        <v>7.6358894955586343E-2</v>
      </c>
      <c r="F18" s="856">
        <f>IF(ISNUMBER((Datos!M18-Datos!W18)/Datos!W18),(Datos!M18-Datos!W18)/Datos!W18," - ")</f>
        <v>-3.6154827732879626E-2</v>
      </c>
      <c r="G18" s="857">
        <f>IF(ISNUMBER((Datos!N18-Datos!X18)/Datos!X18),(Datos!N18-Datos!X18)/Datos!X18," - ")</f>
        <v>-9.5702758491274159E-2</v>
      </c>
      <c r="H18" s="857">
        <f>IF(ISNUMBER(((NºAsuntos!G18/NºAsuntos!E18)-Datos!BD18)/Datos!BD18),((NºAsuntos!G18/NºAsuntos!E18)-Datos!BD18)/Datos!BD18," - ")</f>
        <v>-3.0425300612024041E-2</v>
      </c>
      <c r="I18" s="857">
        <f>IF(ISNUMBER(((NºAsuntos!I18/NºAsuntos!G18)-Datos!BE18)/Datos!BE18),((NºAsuntos!I18/NºAsuntos!G18)-Datos!BE18)/Datos!BE18," - ")</f>
        <v>0.17291214996330281</v>
      </c>
      <c r="J18" s="857">
        <f>IF(ISNUMBER((('Resol  Asuntos'!D18/NºAsuntos!G18)-Datos!BF18)/Datos!BF18),(('Resol  Asuntos'!D18/NºAsuntos!G18)-Datos!BF18)/Datos!BF18," - ")</f>
        <v>5.0305542634295708E-2</v>
      </c>
      <c r="K18" s="857">
        <f>IF(ISNUMBER((((NºAsuntos!C18+NºAsuntos!E18)/NºAsuntos!G18)-Datos!BG18)/Datos!BG18),(((NºAsuntos!C18+NºAsuntos!E18)/NºAsuntos!G18)-Datos!BG18)/Datos!BG18," - ")</f>
        <v>6.8773382691729334E-2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0.24314044499164542</v>
      </c>
      <c r="C19" s="802">
        <f>IF(ISNUMBER(
   IF(J_V="SI",(Datos!J19-Datos!T19)/Datos!T19,(Datos!J19+Datos!Z19-(Datos!T19+Datos!AH19))/(Datos!T19+Datos!AH19))
     ),IF(J_V="SI",(Datos!J19-Datos!T19)/Datos!T19,(Datos!J19+Datos!Z19-(Datos!T19+Datos!AH19))/(Datos!T19+Datos!AH19))," - ")</f>
        <v>-8.8603615404768146E-2</v>
      </c>
      <c r="D19" s="802">
        <f>IF(ISNUMBER(
   IF(J_V="SI",(Datos!K19-Datos!U19)/Datos!U19,(Datos!K19+Datos!AA19-(Datos!U19+Datos!AI19))/(Datos!U19+Datos!AI19))
     ),IF(J_V="SI",(Datos!K19-Datos!U19)/Datos!U19,(Datos!K19+Datos!AA19-(Datos!U19+Datos!AI19))/(Datos!U19+Datos!AI19))," - ")</f>
        <v>1.364696398237987E-2</v>
      </c>
      <c r="E19" s="802">
        <f>IF(ISNUMBER(
   IF(J_V="SI",(Datos!L19-Datos!V19)/Datos!V19,(Datos!L19+Datos!AB19-(Datos!V19+Datos!AJ19))/(Datos!V19+Datos!AJ19))
     ),IF(J_V="SI",(Datos!L19-Datos!V19)/Datos!V19,(Datos!L19+Datos!AB19-(Datos!V19+Datos!AJ19))/(Datos!V19+Datos!AJ19))," - ")</f>
        <v>0.14690904664326726</v>
      </c>
      <c r="F19" s="803">
        <f>IF(ISNUMBER((Datos!M19-Datos!W19)/Datos!W19),(Datos!M19-Datos!W19)/Datos!W19," - ")</f>
        <v>5.757253531824396E-2</v>
      </c>
      <c r="G19" s="804">
        <f>IF(ISNUMBER((Datos!N19-Datos!X19)/Datos!X19),(Datos!N19-Datos!X19)/Datos!X19," - ")</f>
        <v>5.2736910428385977E-2</v>
      </c>
      <c r="H19" s="805">
        <f>IF(ISNUMBER((Tasas!B19-Datos!BD19)/Datos!BD19),(Tasas!B19-Datos!BD19)/Datos!BD19," - ")</f>
        <v>0.11219111806391398</v>
      </c>
      <c r="I19" s="806">
        <f>IF(ISNUMBER((Tasas!C19-Datos!BE19)/Datos!BE19),(Tasas!C19-Datos!BE19)/Datos!BE19," - ")</f>
        <v>0.13146794435937742</v>
      </c>
      <c r="J19" s="807">
        <f>IF(ISNUMBER((Tasas!D19-Datos!BF19)/Datos!BF19),(Tasas!D19-Datos!BF19)/Datos!BF19," - ")</f>
        <v>-0.32385617438467723</v>
      </c>
      <c r="K19" s="807">
        <f>IF(ISNUMBER((Tasas!E19-Datos!BG19)/Datos!BG19),(Tasas!E19-Datos!BG19)/Datos!BG19," - ")</f>
        <v>7.7072101532709519E-2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rC2rHSsoqq4lDDMtdAlIcVX8voAR1ITwQTm/1mWNr3rp3wlxcxSqFzbFlaGHTC7NA7GEQ/RQY18qRoLW3xAiEg==" saltValue="lR2uV0+2DLwaW0tGn3Fq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VALENCIA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1.0412550481515999</v>
      </c>
      <c r="C9" s="443">
        <f>IF(ISNUMBER(NºAsuntos!I9/NºAsuntos!G9),NºAsuntos!I9/NºAsuntos!G9," - ")</f>
        <v>2.4789665254490125</v>
      </c>
      <c r="D9" s="444">
        <f>IF(ISNUMBER('Resol  Asuntos'!D9/NºAsuntos!G9),'Resol  Asuntos'!D9/NºAsuntos!G9," - ")</f>
        <v>0.2373053284802196</v>
      </c>
      <c r="E9" s="445">
        <f>IF(ISNUMBER((NºAsuntos!C9+NºAsuntos!E9)/NºAsuntos!G9),(NºAsuntos!C9+NºAsuntos!E9)/NºAsuntos!G9," - ")</f>
        <v>3.4661375977086939</v>
      </c>
      <c r="G9" s="463"/>
    </row>
    <row r="10" spans="1:7">
      <c r="A10" s="402" t="str">
        <f>Datos!A10</f>
        <v>Jdos. Violencia contra la mujer</v>
      </c>
      <c r="B10" s="442">
        <f>IF(ISNUMBER(NºAsuntos!G10/NºAsuntos!E10),NºAsuntos!G10/NºAsuntos!E10," - ")</f>
        <v>0.84758364312267653</v>
      </c>
      <c r="C10" s="443">
        <f>IF(ISNUMBER(NºAsuntos!I10/NºAsuntos!G10),NºAsuntos!I10/NºAsuntos!G10," - ")</f>
        <v>1.6578947368421053</v>
      </c>
      <c r="D10" s="444">
        <f>IF(ISNUMBER('Resol  Asuntos'!D10/NºAsuntos!G10),'Resol  Asuntos'!D10/NºAsuntos!G10," - ")</f>
        <v>0.43421052631578949</v>
      </c>
      <c r="E10" s="445">
        <f>IF(ISNUMBER((NºAsuntos!C10+NºAsuntos!E10)/NºAsuntos!G10),(NºAsuntos!C10+NºAsuntos!E10)/NºAsuntos!G10," - ")</f>
        <v>2.6578947368421053</v>
      </c>
      <c r="G10" s="463"/>
    </row>
    <row r="11" spans="1:7">
      <c r="A11" s="402" t="str">
        <f>Datos!A11</f>
        <v xml:space="preserve">Jdos. Familia                                   </v>
      </c>
      <c r="B11" s="442">
        <f>IF(ISNUMBER(NºAsuntos!G11/NºAsuntos!E11),NºAsuntos!G11/NºAsuntos!E11," - ")</f>
        <v>1.01171875</v>
      </c>
      <c r="C11" s="443">
        <f>IF(ISNUMBER(NºAsuntos!I11/NºAsuntos!G11),NºAsuntos!I11/NºAsuntos!G11," - ")</f>
        <v>0.90025740025740031</v>
      </c>
      <c r="D11" s="444">
        <f>IF(ISNUMBER('Resol  Asuntos'!D11/NºAsuntos!G11),'Resol  Asuntos'!D11/NºAsuntos!G11," - ")</f>
        <v>0.39897039897039899</v>
      </c>
      <c r="E11" s="445">
        <f>IF(ISNUMBER((NºAsuntos!C11+NºAsuntos!E11)/NºAsuntos!G11),(NºAsuntos!C11+NºAsuntos!E11)/NºAsuntos!G11," - ")</f>
        <v>1.9099099099099099</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1.0358100558659218</v>
      </c>
      <c r="C13" s="859">
        <f>IF(ISNUMBER(NºAsuntos!I13/NºAsuntos!G13),NºAsuntos!I13/NºAsuntos!G13," - ")</f>
        <v>2.3365514265681462</v>
      </c>
      <c r="D13" s="860">
        <f>IF(ISNUMBER('Resol  Asuntos'!D13/NºAsuntos!G13),'Resol  Asuntos'!D13/NºAsuntos!G13," - ")</f>
        <v>0.25327652230192549</v>
      </c>
      <c r="E13" s="861">
        <f>IF(ISNUMBER((NºAsuntos!C13+NºAsuntos!E13)/NºAsuntos!G13),(NºAsuntos!C13+NºAsuntos!E13)/NºAsuntos!G13," - ")</f>
        <v>3.3257645218704495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0.98519560557341912</v>
      </c>
      <c r="C15" s="443">
        <f>IF(ISNUMBER(NºAsuntos!I15/NºAsuntos!G15),NºAsuntos!I15/NºAsuntos!G15," - ")</f>
        <v>0.80363092404977221</v>
      </c>
      <c r="D15" s="444">
        <f>IF(ISNUMBER('Resol  Asuntos'!D15/NºAsuntos!G15),'Resol  Asuntos'!D15/NºAsuntos!G15," - ")</f>
        <v>0.14659685863874344</v>
      </c>
      <c r="E15" s="445">
        <f>IF(ISNUMBER((NºAsuntos!C15+NºAsuntos!E15)/NºAsuntos!G15),(NºAsuntos!C15+NºAsuntos!E15)/NºAsuntos!G15," - ")</f>
        <v>1.7897599782416536</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0.9994897959183674</v>
      </c>
      <c r="C17" s="443">
        <f>IF(ISNUMBER(NºAsuntos!I17/NºAsuntos!G17),NºAsuntos!I17/NºAsuntos!G17," - ")</f>
        <v>0.70903522205206737</v>
      </c>
      <c r="D17" s="444">
        <f>IF(ISNUMBER('Resol  Asuntos'!D17/NºAsuntos!G17),'Resol  Asuntos'!D17/NºAsuntos!G17," - ")</f>
        <v>5.6151097498723837E-2</v>
      </c>
      <c r="E17" s="445">
        <f>IF(ISNUMBER((NºAsuntos!C17+NºAsuntos!E17)/NºAsuntos!G17),(NºAsuntos!C17+NºAsuntos!E17)/NºAsuntos!G17," - ")</f>
        <v>1.708014293006636</v>
      </c>
      <c r="G17" s="463"/>
    </row>
    <row r="18" spans="1:7" ht="14.25" thickTop="1" thickBot="1">
      <c r="A18" s="848" t="str">
        <f>Datos!A18</f>
        <v>TOTAL</v>
      </c>
      <c r="B18" s="858">
        <f>IF(ISNUMBER(NºAsuntos!G18/NºAsuntos!E18),NºAsuntos!G18/NºAsuntos!E18," - ")</f>
        <v>0.98685457129322596</v>
      </c>
      <c r="C18" s="859">
        <f>IF(ISNUMBER(NºAsuntos!I18/NºAsuntos!G18),NºAsuntos!I18/NºAsuntos!G18," - ")</f>
        <v>0.79251170046801878</v>
      </c>
      <c r="D18" s="862">
        <f>IF(ISNUMBER('Resol  Asuntos'!D18/NºAsuntos!G18),'Resol  Asuntos'!D18/NºAsuntos!G18," - ")</f>
        <v>0.1359654386175447</v>
      </c>
      <c r="E18" s="861">
        <f>IF(ISNUMBER((NºAsuntos!C18+NºAsuntos!E18)/NºAsuntos!G18),(NºAsuntos!C18+NºAsuntos!E18)/NºAsuntos!G18," - ")</f>
        <v>1.7801512060482418</v>
      </c>
      <c r="G18" s="463"/>
    </row>
    <row r="19" spans="1:7" ht="15.75" customHeight="1" thickTop="1" thickBot="1">
      <c r="A19" s="793" t="str">
        <f>Datos!A19</f>
        <v>TOTAL JURISDICCIONES</v>
      </c>
      <c r="B19" s="808">
        <f>IF(ISNUMBER(NºAsuntos!G19/NºAsuntos!E19),NºAsuntos!G19/NºAsuntos!E19," - ")</f>
        <v>1.0120443831206163</v>
      </c>
      <c r="C19" s="809">
        <f>IF(ISNUMBER(NºAsuntos!I19/NºAsuntos!G19),NºAsuntos!I19/NºAsuntos!G19," - ")</f>
        <v>1.6056466043684494</v>
      </c>
      <c r="D19" s="810">
        <f>IF(ISNUMBER('Resol  Asuntos'!D19/NºAsuntos!G19),'Resol  Asuntos'!D19/NºAsuntos!G19," - ")</f>
        <v>0.19774476666571988</v>
      </c>
      <c r="E19" s="811">
        <f>IF(ISNUMBER((NºAsuntos!C19+NºAsuntos!E19)/NºAsuntos!G19),(NºAsuntos!C19+NºAsuntos!E19)/NºAsuntos!G19," - ")</f>
        <v>2.5941148067145736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43hr6NtLzLk6itnwH/sSdMUigTbDMYY4kYvwPEUMH+CVsOpTwAde0/zmrqCwBajyXSgkvjO603RrUlVx2+E2UQ==" saltValue="/Jgs7+gK30pyt3iAe5IB1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VALENCIA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26</v>
      </c>
      <c r="B9" s="177" t="s">
        <v>246</v>
      </c>
      <c r="C9" s="160" t="str">
        <f>Datos!A9</f>
        <v xml:space="preserve">Jdos. 1ª Instancia   </v>
      </c>
      <c r="D9" s="160"/>
      <c r="E9" s="1025">
        <f>IF(ISNUMBER(Datos!AQ9),Datos!AQ9," - ")</f>
        <v>26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2976</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1852</v>
      </c>
      <c r="Y9" s="334">
        <f>SUM(W9:X9)</f>
        <v>1852</v>
      </c>
      <c r="Z9" s="335" t="str">
        <f>IF(ISNUMBER(Datos!CC9),Datos!CC9," - ")</f>
        <v xml:space="preserve"> - </v>
      </c>
      <c r="AA9" s="332" t="str">
        <f>IF(ISNUMBER(IF(J_V="SI",Datos!L9,Datos!L9+Datos!AB9)-IF(Monitorios="SI",Datos!CD9,0)),
                          IF(J_V="SI",Datos!L9,Datos!L9+Datos!AB9)-IF(Monitorios="SI",Datos!CD9,0),
                          " - ")</f>
        <v xml:space="preserve"> - </v>
      </c>
      <c r="AB9" s="334">
        <f>IF(ISNUMBER(Datos!R9),Datos!R9," - ")</f>
        <v>32114</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3977</v>
      </c>
      <c r="AJ9" s="229" t="str">
        <f>IF(ISNUMBER(Datos!BW9),Datos!BW9," - ")</f>
        <v xml:space="preserve"> - </v>
      </c>
      <c r="AK9" s="228" t="str">
        <f>IF(ISNUMBER(Datos!BX9),Datos!BX9," - ")</f>
        <v xml:space="preserve"> - </v>
      </c>
      <c r="AL9" s="243">
        <f>IF(ISNUMBER(NºAsuntos!G9/NºAsuntos!E9),NºAsuntos!G9/NºAsuntos!E9," - ")</f>
        <v>1.0412550481515999</v>
      </c>
      <c r="AM9" s="260">
        <f>IF(ISNUMBER(((NºAsuntos!I9/NºAsuntos!G9)*11)/factor_trimestre),((NºAsuntos!I9/NºAsuntos!G9)*11)/factor_trimestre," - ")</f>
        <v>7.436899576347038</v>
      </c>
      <c r="AN9" s="244">
        <f>IF(ISNUMBER('Resol  Asuntos'!D9/NºAsuntos!G9),'Resol  Asuntos'!D9/NºAsuntos!G9," - ")</f>
        <v>0.2373053284802196</v>
      </c>
      <c r="AO9" s="245">
        <f>IF(ISNUMBER((NºAsuntos!C9+NºAsuntos!E9)/NºAsuntos!G9),(NºAsuntos!C9+NºAsuntos!E9)/NºAsuntos!G9," - ")</f>
        <v>3.4661375977086939</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6</v>
      </c>
      <c r="B10" s="275" t="s">
        <v>246</v>
      </c>
      <c r="C10" s="7" t="str">
        <f>Datos!A10</f>
        <v>Jdos. Violencia contra la mujer</v>
      </c>
      <c r="D10" s="7"/>
      <c r="E10" s="1025">
        <f>IF(ISNUMBER(Datos!AQ10),Datos!AQ10," - ")</f>
        <v>6</v>
      </c>
      <c r="F10" s="225">
        <f>IF(ISNUMBER(Datos!L10+Datos!K10-Datos!J10-K10),Datos!L10+Datos!K10-Datos!J10-K10," - ")</f>
        <v>337</v>
      </c>
      <c r="G10" s="333">
        <f>IF(ISNUMBER(Datos!I10),Datos!I10," - ")</f>
        <v>337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228</v>
      </c>
      <c r="X10" s="226">
        <f>IF(ISNUMBER(Datos!Q10),Datos!Q10," - ")</f>
        <v>42</v>
      </c>
      <c r="Y10" s="334">
        <f t="shared" ref="Y10:Y12" si="0">SUM(W10:X10)</f>
        <v>270</v>
      </c>
      <c r="Z10" s="335" t="str">
        <f>IF(ISNUMBER(Datos!CC10),Datos!CC10," - ")</f>
        <v xml:space="preserve"> - </v>
      </c>
      <c r="AA10" s="332">
        <f>IF(ISNUMBER(Datos!L10),Datos!L10,"-")</f>
        <v>378</v>
      </c>
      <c r="AB10" s="334">
        <f>IF(ISNUMBER(Datos!R10),Datos!R10," - ")</f>
        <v>273</v>
      </c>
      <c r="AC10" s="334">
        <f t="shared" ref="AC10:AC12" si="1">IF(ISNUMBER(AA10+AB10),AA10+AB10," - ")</f>
        <v>651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99</v>
      </c>
      <c r="AJ10" s="231" t="str">
        <f>IF(ISNUMBER(Datos!BW10),Datos!BW10," - ")</f>
        <v xml:space="preserve"> - </v>
      </c>
      <c r="AK10" s="232" t="str">
        <f>IF(ISNUMBER(Datos!BX10),Datos!BX10," - ")</f>
        <v xml:space="preserve"> - </v>
      </c>
      <c r="AL10" s="243">
        <f>IF(ISNUMBER(NºAsuntos!G10/NºAsuntos!E10),NºAsuntos!G10/NºAsuntos!E10," - ")</f>
        <v>0.84758364312267653</v>
      </c>
      <c r="AM10" s="260">
        <f>IF(ISNUMBER(((NºAsuntos!I10/NºAsuntos!G10)*11)/factor_trimestre),((NºAsuntos!I10/NºAsuntos!G10)*11)/factor_trimestre," - ")</f>
        <v>4.9736842105263159</v>
      </c>
      <c r="AN10" s="244">
        <f>IF(ISNUMBER('Resol  Asuntos'!D10/NºAsuntos!G10),'Resol  Asuntos'!D10/NºAsuntos!G10," - ")</f>
        <v>0.43421052631578949</v>
      </c>
      <c r="AO10" s="245">
        <f>IF(ISNUMBER((NºAsuntos!C10+NºAsuntos!E10)/NºAsuntos!G10),(NºAsuntos!C10+NºAsuntos!E10)/NºAsuntos!G10," - ")</f>
        <v>2.6578947368421053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4</v>
      </c>
      <c r="B11" s="275" t="s">
        <v>246</v>
      </c>
      <c r="C11" s="7" t="str">
        <f>Datos!A11</f>
        <v xml:space="preserve">Jdos. Familia                                   </v>
      </c>
      <c r="D11" s="7"/>
      <c r="E11" s="1025">
        <f>IF(ISNUMBER(Datos!AQ11),Datos!AQ11," - ")</f>
        <v>4</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180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326</v>
      </c>
      <c r="Y11" s="334">
        <f t="shared" si="0"/>
        <v>326</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1329</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620</v>
      </c>
      <c r="AJ11" s="231" t="str">
        <f>IF(ISNUMBER(Datos!BW11),Datos!BW11," - ")</f>
        <v xml:space="preserve"> - </v>
      </c>
      <c r="AK11" s="232" t="str">
        <f>IF(ISNUMBER(Datos!BX11),Datos!BX11," - ")</f>
        <v xml:space="preserve"> - </v>
      </c>
      <c r="AL11" s="243">
        <f>IF(ISNUMBER(NºAsuntos!G11/NºAsuntos!E11),NºAsuntos!G11/NºAsuntos!E11," - ")</f>
        <v>1.01171875</v>
      </c>
      <c r="AM11" s="260">
        <f>IF(ISNUMBER(((NºAsuntos!I11/NºAsuntos!G11)*11)/factor_trimestre),((NºAsuntos!I11/NºAsuntos!G11)*11)/factor_trimestre," - ")</f>
        <v>2.7007722007722008</v>
      </c>
      <c r="AN11" s="244">
        <f>IF(ISNUMBER('Resol  Asuntos'!D11/NºAsuntos!G11),'Resol  Asuntos'!D11/NºAsuntos!G11," - ")</f>
        <v>0.39897039897039899</v>
      </c>
      <c r="AO11" s="245">
        <f>IF(ISNUMBER((NºAsuntos!C11+NºAsuntos!E11)/NºAsuntos!G11),(NºAsuntos!C11+NºAsuntos!E11)/NºAsuntos!G11," - ")</f>
        <v>1.9099099099099099</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36</v>
      </c>
      <c r="F13" s="865">
        <f t="shared" si="3"/>
        <v>337</v>
      </c>
      <c r="G13" s="866">
        <f t="shared" si="3"/>
        <v>337</v>
      </c>
      <c r="H13" s="865">
        <f t="shared" si="3"/>
        <v>0</v>
      </c>
      <c r="I13" s="867">
        <f t="shared" si="3"/>
        <v>0</v>
      </c>
      <c r="J13" s="867">
        <f t="shared" si="3"/>
        <v>0</v>
      </c>
      <c r="K13" s="867">
        <f t="shared" si="3"/>
        <v>0</v>
      </c>
      <c r="L13" s="867">
        <f t="shared" si="3"/>
        <v>3201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228</v>
      </c>
      <c r="X13" s="867">
        <f t="shared" si="4"/>
        <v>2220</v>
      </c>
      <c r="Y13" s="868">
        <f t="shared" si="4"/>
        <v>2448</v>
      </c>
      <c r="Z13" s="868">
        <f t="shared" si="4"/>
        <v>0</v>
      </c>
      <c r="AA13" s="868">
        <f t="shared" si="4"/>
        <v>378</v>
      </c>
      <c r="AB13" s="868">
        <f t="shared" si="4"/>
        <v>33716</v>
      </c>
      <c r="AC13" s="868">
        <f t="shared" si="4"/>
        <v>651</v>
      </c>
      <c r="AD13" s="868">
        <f t="shared" si="4"/>
        <v>0</v>
      </c>
      <c r="AE13" s="872">
        <f t="shared" si="4"/>
        <v>0</v>
      </c>
      <c r="AF13" s="865">
        <f t="shared" si="4"/>
        <v>0</v>
      </c>
      <c r="AG13" s="873">
        <f t="shared" si="4"/>
        <v>0</v>
      </c>
      <c r="AH13" s="870">
        <f t="shared" si="4"/>
        <v>0</v>
      </c>
      <c r="AI13" s="865">
        <f t="shared" si="4"/>
        <v>4696</v>
      </c>
      <c r="AJ13" s="867">
        <f t="shared" si="4"/>
        <v>0</v>
      </c>
      <c r="AK13" s="870">
        <f>SUBTOTAL(9,AK9:AK12)</f>
        <v>0</v>
      </c>
      <c r="AL13" s="874">
        <f>IF(ISNUMBER(NºAsuntos!G13/NºAsuntos!E13),NºAsuntos!G13/NºAsuntos!E13," - ")</f>
        <v>1.0358100558659218</v>
      </c>
      <c r="AM13" s="874">
        <f>IF(ISNUMBER(((NºAsuntos!I13/NºAsuntos!G13)*11)/factor_trimestre),((NºAsuntos!I13/NºAsuntos!G13)*11)/factor_trimestre," - ")</f>
        <v>7.0096542797044386</v>
      </c>
      <c r="AN13" s="875">
        <f>IF(ISNUMBER('Resol  Asuntos'!D13/NºAsuntos!G13),'Resol  Asuntos'!D13/NºAsuntos!G13," - ")</f>
        <v>0.25327652230192549</v>
      </c>
      <c r="AO13" s="876">
        <f>IF(ISNUMBER((NºAsuntos!C13+NºAsuntos!E13)/NºAsuntos!G13),(NºAsuntos!C13+NºAsuntos!E13)/NºAsuntos!G13," - ")</f>
        <v>3.3257645218704495</v>
      </c>
      <c r="AP13" s="877" t="str">
        <f t="shared" si="2"/>
        <v xml:space="preserve"> - </v>
      </c>
      <c r="AQ13" s="877">
        <f>IF(ISNUMBER((H13-W13+K13)/(F13)),(H13-W13+K13)/(F13)," - ")</f>
        <v>-0.67655786350148372</v>
      </c>
      <c r="AR13" s="878">
        <f>IF(ISNUMBER((Datos!P13-Datos!Q13)/(Datos!R13-Datos!P13+Datos!Q13)),(Datos!P13-Datos!Q13)/(Datos!R13-Datos!P13+Datos!Q13)," - ")</f>
        <v>2.9967924240109974E-2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21</v>
      </c>
      <c r="B15" s="275" t="s">
        <v>396</v>
      </c>
      <c r="C15" s="160" t="str">
        <f>Datos!A15</f>
        <v xml:space="preserve">Jdos. Instrucción                               </v>
      </c>
      <c r="D15" s="160"/>
      <c r="E15" s="1025">
        <f>IF(ISNUMBER(Datos!AQ15),Datos!AQ15," - ")</f>
        <v>21</v>
      </c>
      <c r="F15" s="225">
        <f>IF(ISNUMBER(AA15+W15-Datos!J15-K15),AA15+W15-Datos!J15-K15," - ")</f>
        <v>11598</v>
      </c>
      <c r="G15" s="333">
        <f>IF(ISNUMBER(IF(D_I="SI",Datos!I15,Datos!I15+Datos!AC15)),IF(D_I="SI",Datos!I15,Datos!I15+Datos!AC15)," - ")</f>
        <v>11394</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1065</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14707</v>
      </c>
      <c r="X15" s="226">
        <f>IF(ISNUMBER(Datos!Q15),Datos!Q15," - ")</f>
        <v>988</v>
      </c>
      <c r="Y15" s="334">
        <f>SUM(W15)</f>
        <v>14707</v>
      </c>
      <c r="Z15" s="335" t="str">
        <f>IF(ISNUMBER(Datos!CC15),Datos!CC15," - ")</f>
        <v xml:space="preserve"> - </v>
      </c>
      <c r="AA15" s="332">
        <f>IF(ISNUMBER(IF(D_I="SI",Datos!L15,Datos!L15+Datos!AF15)),IF(D_I="SI",Datos!L15,Datos!L15+Datos!AF15)," - ")</f>
        <v>11819</v>
      </c>
      <c r="AB15" s="334">
        <f>IF(ISNUMBER(Datos!R15),Datos!R15," - ")</f>
        <v>1946</v>
      </c>
      <c r="AC15" s="334">
        <f t="shared" ref="AC15:AC17" si="6">IF(ISNUMBER(AA15+AB15),AA15+AB15," - ")</f>
        <v>13765</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2156</v>
      </c>
      <c r="AJ15" s="231" t="str">
        <f>IF(ISNUMBER(Datos!BW15),Datos!BW15," - ")</f>
        <v xml:space="preserve"> - </v>
      </c>
      <c r="AK15" s="232" t="str">
        <f>IF(ISNUMBER(Datos!BX15),Datos!BX15," - ")</f>
        <v xml:space="preserve"> - </v>
      </c>
      <c r="AL15" s="243">
        <f>IF(ISNUMBER(NºAsuntos!G15/NºAsuntos!E15),NºAsuntos!G15/NºAsuntos!E15," - ")</f>
        <v>0.98519560557341912</v>
      </c>
      <c r="AM15" s="260">
        <f>IF(ISNUMBER(((NºAsuntos!I15/NºAsuntos!G15)*11)/factor_trimestre),((NºAsuntos!I15/NºAsuntos!G15)*11)/factor_trimestre," - ")</f>
        <v>2.4108927721493165</v>
      </c>
      <c r="AN15" s="244">
        <f>IF(ISNUMBER('Resol  Asuntos'!D15/NºAsuntos!G15),'Resol  Asuntos'!D15/NºAsuntos!G15," - ")</f>
        <v>0.14659685863874344</v>
      </c>
      <c r="AO15" s="245">
        <f>IF(ISNUMBER((NºAsuntos!C15+NºAsuntos!E15)/NºAsuntos!G15),(NºAsuntos!C15+NºAsuntos!E15)/NºAsuntos!G15," - ")</f>
        <v>1.7897599782416536</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6</v>
      </c>
      <c r="B17" s="275" t="s">
        <v>396</v>
      </c>
      <c r="C17" s="7" t="str">
        <f>Datos!A17</f>
        <v>Jdos. Violencia contra la mujer</v>
      </c>
      <c r="D17" s="7"/>
      <c r="E17" s="1025">
        <f>IF(ISNUMBER(Datos!AQ17),Datos!AQ17," - ")</f>
        <v>6</v>
      </c>
      <c r="F17" s="225" t="str">
        <f>IF(ISNUMBER(AA17+W17-H17-K17),AA17+W17-H17-K17," - ")</f>
        <v xml:space="preserve"> - </v>
      </c>
      <c r="G17" s="333">
        <f>IF(ISNUMBER(IF(D_I="SI",Datos!I17,Datos!I17+Datos!AC17)),IF(D_I="SI",Datos!I17,Datos!I17+Datos!AC17)," - ")</f>
        <v>1386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24</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1959</v>
      </c>
      <c r="X17" s="226">
        <f>IF(ISNUMBER(Datos!Q17),Datos!Q17," - ")</f>
        <v>49</v>
      </c>
      <c r="Y17" s="334">
        <f t="shared" si="7"/>
        <v>2008</v>
      </c>
      <c r="Z17" s="335" t="str">
        <f>IF(ISNUMBER(Datos!CC17),Datos!CC17," - ")</f>
        <v xml:space="preserve"> - </v>
      </c>
      <c r="AA17" s="332">
        <f>IF(ISNUMBER(Datos!L17),Datos!L17,"-")</f>
        <v>1389</v>
      </c>
      <c r="AB17" s="334">
        <f>IF(ISNUMBER(Datos!R17),Datos!R17," - ")</f>
        <v>30</v>
      </c>
      <c r="AC17" s="334">
        <f t="shared" si="6"/>
        <v>1419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110</v>
      </c>
      <c r="AJ17" s="231" t="str">
        <f>IF(ISNUMBER(Datos!BW17),Datos!BW17," - ")</f>
        <v xml:space="preserve"> - </v>
      </c>
      <c r="AK17" s="232" t="str">
        <f>IF(ISNUMBER(Datos!BX17),Datos!BX17," - ")</f>
        <v xml:space="preserve"> - </v>
      </c>
      <c r="AL17" s="243">
        <f>IF(ISNUMBER(NºAsuntos!G17/NºAsuntos!E17),NºAsuntos!G17/NºAsuntos!E17," - ")</f>
        <v>0.9994897959183674</v>
      </c>
      <c r="AM17" s="260">
        <f>IF(ISNUMBER(((NºAsuntos!I17/NºAsuntos!G17)*11)/factor_trimestre),((NºAsuntos!I17/NºAsuntos!G17)*11)/factor_trimestre," - ")</f>
        <v>2.1271056661562024</v>
      </c>
      <c r="AN17" s="244">
        <f>IF(ISNUMBER('Resol  Asuntos'!D17/NºAsuntos!G17),'Resol  Asuntos'!D17/NºAsuntos!G17," - ")</f>
        <v>5.6151097498723837E-2</v>
      </c>
      <c r="AO17" s="245">
        <f>IF(ISNUMBER((NºAsuntos!C17+NºAsuntos!E17)/NºAsuntos!G17),(NºAsuntos!C17+NºAsuntos!E17)/NºAsuntos!G17," - ")</f>
        <v>1.708014293006636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27</v>
      </c>
      <c r="F18" s="865">
        <f>SUBTOTAL(9,F14:F17)</f>
        <v>11598</v>
      </c>
      <c r="G18" s="866">
        <f>SUBTOTAL(9,G15:G17)</f>
        <v>12780</v>
      </c>
      <c r="H18" s="865">
        <f t="shared" ref="H18:O18" si="10">SUBTOTAL(9,H14:H17)</f>
        <v>0</v>
      </c>
      <c r="I18" s="867">
        <f t="shared" si="10"/>
        <v>0</v>
      </c>
      <c r="J18" s="867">
        <f t="shared" si="10"/>
        <v>0</v>
      </c>
      <c r="K18" s="867">
        <f t="shared" si="10"/>
        <v>0</v>
      </c>
      <c r="L18" s="867">
        <f t="shared" si="10"/>
        <v>1089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16666</v>
      </c>
      <c r="X18" s="867">
        <f t="shared" si="11"/>
        <v>1037</v>
      </c>
      <c r="Y18" s="868">
        <f t="shared" si="11"/>
        <v>16715</v>
      </c>
      <c r="Z18" s="868">
        <f t="shared" si="11"/>
        <v>0</v>
      </c>
      <c r="AA18" s="868">
        <f t="shared" si="11"/>
        <v>13208</v>
      </c>
      <c r="AB18" s="868">
        <f t="shared" si="11"/>
        <v>1976</v>
      </c>
      <c r="AC18" s="868">
        <f t="shared" si="11"/>
        <v>15184</v>
      </c>
      <c r="AD18" s="868">
        <f t="shared" si="11"/>
        <v>0</v>
      </c>
      <c r="AE18" s="872">
        <f t="shared" si="11"/>
        <v>0</v>
      </c>
      <c r="AF18" s="865">
        <f t="shared" si="11"/>
        <v>0</v>
      </c>
      <c r="AG18" s="873">
        <f t="shared" si="11"/>
        <v>0</v>
      </c>
      <c r="AH18" s="870">
        <f t="shared" si="11"/>
        <v>0</v>
      </c>
      <c r="AI18" s="865">
        <f t="shared" si="11"/>
        <v>2266</v>
      </c>
      <c r="AJ18" s="867">
        <f t="shared" si="11"/>
        <v>0</v>
      </c>
      <c r="AK18" s="870">
        <f t="shared" si="11"/>
        <v>0</v>
      </c>
      <c r="AL18" s="874">
        <f>IF(ISNUMBER(NºAsuntos!G18/NºAsuntos!E18),NºAsuntos!G18/NºAsuntos!E18," - ")</f>
        <v>0.98685457129322596</v>
      </c>
      <c r="AM18" s="874">
        <f>IF(ISNUMBER(((NºAsuntos!I18/NºAsuntos!G18)*11)/factor_trimestre),((NºAsuntos!I18/NºAsuntos!G18)*11)/factor_trimestre," - ")</f>
        <v>2.3775351014040562</v>
      </c>
      <c r="AN18" s="875">
        <f>IF(ISNUMBER('Resol  Asuntos'!D18/NºAsuntos!G18),'Resol  Asuntos'!D18/NºAsuntos!G18," - ")</f>
        <v>0.1359654386175447</v>
      </c>
      <c r="AO18" s="876">
        <f>IF(ISNUMBER((NºAsuntos!C18+NºAsuntos!E18)/NºAsuntos!G18),(NºAsuntos!C18+NºAsuntos!E18)/NºAsuntos!G18," - ")</f>
        <v>1.7801512060482418</v>
      </c>
      <c r="AP18" s="877" t="str">
        <f t="shared" si="2"/>
        <v xml:space="preserve"> - </v>
      </c>
      <c r="AQ18" s="877">
        <f>IF(ISNUMBER((H18-W18+K18)/(F18)),(H18-W18+K18)/(F18)," - ")</f>
        <v>-1.4369718917054664</v>
      </c>
      <c r="AR18" s="878">
        <f>IF(ISNUMBER((Datos!P18-Datos!Q18)/(Datos!R18-Datos!P18+Datos!Q18)),(Datos!P18-Datos!Q18)/(Datos!R18-Datos!P18+Datos!Q18)," - ")</f>
        <v>2.7027027027027029E-2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63</v>
      </c>
      <c r="F19" s="820">
        <f t="shared" si="13"/>
        <v>11935</v>
      </c>
      <c r="G19" s="821">
        <f t="shared" si="13"/>
        <v>13117</v>
      </c>
      <c r="H19" s="820">
        <f t="shared" si="13"/>
        <v>0</v>
      </c>
      <c r="I19" s="822">
        <f t="shared" si="13"/>
        <v>0</v>
      </c>
      <c r="J19" s="822">
        <f t="shared" si="13"/>
        <v>0</v>
      </c>
      <c r="K19" s="881">
        <f t="shared" si="13"/>
        <v>0</v>
      </c>
      <c r="L19" s="822">
        <f t="shared" si="13"/>
        <v>4290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16894</v>
      </c>
      <c r="X19" s="821">
        <f t="shared" si="14"/>
        <v>3257</v>
      </c>
      <c r="Y19" s="828">
        <f t="shared" si="14"/>
        <v>19163</v>
      </c>
      <c r="Z19" s="828">
        <f t="shared" si="14"/>
        <v>0</v>
      </c>
      <c r="AA19" s="828">
        <f t="shared" si="14"/>
        <v>13586</v>
      </c>
      <c r="AB19" s="828">
        <f t="shared" si="14"/>
        <v>35692</v>
      </c>
      <c r="AC19" s="828">
        <f t="shared" si="14"/>
        <v>15835</v>
      </c>
      <c r="AD19" s="828">
        <f t="shared" si="14"/>
        <v>0</v>
      </c>
      <c r="AE19" s="830">
        <f t="shared" si="14"/>
        <v>0</v>
      </c>
      <c r="AF19" s="831">
        <f t="shared" si="14"/>
        <v>0</v>
      </c>
      <c r="AG19" s="832">
        <f t="shared" si="14"/>
        <v>0</v>
      </c>
      <c r="AH19" s="830">
        <f t="shared" si="14"/>
        <v>0</v>
      </c>
      <c r="AI19" s="820">
        <f t="shared" si="14"/>
        <v>6962</v>
      </c>
      <c r="AJ19" s="820">
        <f t="shared" si="14"/>
        <v>0</v>
      </c>
      <c r="AK19" s="830">
        <f t="shared" si="14"/>
        <v>0</v>
      </c>
      <c r="AL19" s="884">
        <f>IF(ISNUMBER(NºAsuntos!G19/NºAsuntos!E19),NºAsuntos!G19/NºAsuntos!E19," - ")</f>
        <v>1.0120443831206163</v>
      </c>
      <c r="AM19" s="885">
        <f>IF(ISNUMBER(((NºAsuntos!I19/NºAsuntos!G19)*11)/factor_trimestre),((NºAsuntos!I19/NºAsuntos!G19)*11)/factor_trimestre," - ")</f>
        <v>4.816939813105348</v>
      </c>
      <c r="AN19" s="885">
        <f>IF(ISNUMBER('Resol  Asuntos'!D19/NºAsuntos!G19),'Resol  Asuntos'!D19/NºAsuntos!G19," - ")</f>
        <v>0.19774476666571988</v>
      </c>
      <c r="AO19" s="886">
        <f>IF(ISNUMBER((NºAsuntos!C19+NºAsuntos!E19)/NºAsuntos!G19),(NºAsuntos!C19+NºAsuntos!E19)/NºAsuntos!G19," - ")</f>
        <v>2.5941148067145736</v>
      </c>
      <c r="AP19" s="887" t="str">
        <f t="shared" si="2"/>
        <v xml:space="preserve"> - </v>
      </c>
      <c r="AQ19" s="888">
        <f>IF(OR(ISNUMBER(FIND("01",Criterios!A8,1)),ISNUMBER(FIND("02",Criterios!A8,1)),ISNUMBER(FIND("03",Criterios!A8,1)),ISNUMBER(FIND("04",Criterios!A8,1))),(I19-W19+K19)/(F19-K19),(H19-W19+K19)/(F19-K19))</f>
        <v>-1.4155006284038543</v>
      </c>
      <c r="AR19" s="889">
        <f>IF(ISNUMBER((Datos!P19-Datos!Q19)/(Datos!R19-Datos!P19+Datos!Q19)),(Datos!P19-Datos!Q19)/(Datos!R19-Datos!P19+Datos!Q19)," - ")</f>
        <v>2.980466834011368E-2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5246.8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13.536986370680884</v>
      </c>
      <c r="F21" s="252">
        <f>IF(ISNUMBER(STDEV(F8:F18)),STDEV(F8:F18),"-")</f>
        <v>6501.5413813443756</v>
      </c>
      <c r="G21" s="253">
        <f>IF(ISNUMBER(STDEV(G8:G18)),STDEV(G8:G18),"-")</f>
        <v>6278.0414700764759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8210.7744031851216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1842.1686883101875</v>
      </c>
      <c r="AJ21" s="252">
        <f t="shared" si="18"/>
        <v>0</v>
      </c>
      <c r="AK21" s="254">
        <f t="shared" si="18"/>
        <v>0</v>
      </c>
      <c r="AL21" s="249">
        <f t="shared" si="18"/>
        <v>6.5234283475650245E-2</v>
      </c>
      <c r="AM21" s="250">
        <f t="shared" si="18"/>
        <v>2.3100595123193779</v>
      </c>
      <c r="AN21" s="250">
        <f t="shared" si="18"/>
        <v>0.13932978269906346</v>
      </c>
      <c r="AO21" s="251">
        <f t="shared" si="18"/>
        <v>0.76725384381088169</v>
      </c>
      <c r="AP21" s="291" t="str">
        <f t="shared" si="18"/>
        <v>-</v>
      </c>
      <c r="AQ21" s="292">
        <f t="shared" si="18"/>
        <v>0.53769391585241466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Ueq7NeF0Z50s5HcYmoKvXdVeJZCH6mlnzIjPQyF5gXOmdJnmnbKDcYOcYkLvW1C0Qe9KSZma2NdVLSloznND9Q==" saltValue="sfT3CbZeDtKa66vMIoRI8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VALENCIA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0.13693539165237278</v>
      </c>
      <c r="I9" s="350">
        <f>IF(ISNUMBER((Tasas!C9-Datos!BE9)/Datos!BE9),(Tasas!C9-Datos!BE9)/Datos!BE9," - ")</f>
        <v>6.2739038698182259E-2</v>
      </c>
      <c r="J9" s="349">
        <f>IF(ISNUMBER((Tasas!D9-Datos!BF9)/Datos!BF9),(Tasas!D9-Datos!BF9)/Datos!BF9," - ")</f>
        <v>-0.51002542820559849</v>
      </c>
      <c r="K9" s="351">
        <f>IF(ISNUMBER((Tasas!E9-Datos!BG9)/Datos!BG9),(Tasas!E9-Datos!BG9)/Datos!BG9," - ")</f>
        <v>4.3938302670685957E-2</v>
      </c>
      <c r="M9" t="e">
        <f>IF(Monitorios="SI",Datos!CE9,0)</f>
        <v>#REF!</v>
      </c>
      <c r="N9" t="e">
        <f>IF(Monitorios="SI",Datos!CF9,0)</f>
        <v>#REF!</v>
      </c>
      <c r="O9" t="e">
        <f>IF(Monitorios="SI",Datos!CG9,0)</f>
        <v>#REF!</v>
      </c>
      <c r="P9" t="e">
        <f>IF(Monitorios="SI",Datos!CH9,0)</f>
        <v>#REF!</v>
      </c>
      <c r="Q9">
        <f>IF(J_V="SI",0,Datos!AG9)</f>
        <v>966</v>
      </c>
      <c r="R9">
        <f>IF(J_V="SI",0,Datos!AH9)</f>
        <v>1055</v>
      </c>
      <c r="S9">
        <f>IF(J_V="SI",0,Datos!AI9)</f>
        <v>1007</v>
      </c>
      <c r="T9">
        <f>IF(J_V="SI",0,Datos!AJ9)</f>
        <v>1014</v>
      </c>
    </row>
    <row r="10" spans="2:20" ht="14.25">
      <c r="B10" s="275" t="s">
        <v>246</v>
      </c>
      <c r="C10" s="7" t="str">
        <f>Datos!A10</f>
        <v>Jdos. Violencia contra la mujer</v>
      </c>
      <c r="D10" s="352">
        <f>IF(ISNUMBER((Datos!I10-Datos!S10)/Datos!S10),(Datos!I10-Datos!S10)/Datos!S10," - ")</f>
        <v>5.3124999999999999E-2</v>
      </c>
      <c r="E10" s="348">
        <f>IF(ISNUMBER((Datos!J10-Datos!T10)/Datos!T10),(Datos!J10-Datos!T10)/Datos!T10," - ")</f>
        <v>0.17467248908296942</v>
      </c>
      <c r="F10" s="348">
        <f>IF(ISNUMBER((Datos!K10-Datos!U10)/Datos!U10),(Datos!K10-Datos!U10)/Datos!U10," - ")</f>
        <v>-1.7241379310344827E-2</v>
      </c>
      <c r="G10" s="349">
        <f>IF(ISNUMBER((Datos!L10-Datos!V10)/Datos!V10),(Datos!L10-Datos!V10)/Datos!V10," - ")</f>
        <v>0.19242902208201892</v>
      </c>
      <c r="H10" s="230">
        <f>IF(ISNUMBER((Datos!M10-Datos!W10)/Datos!W10),(Datos!M10-Datos!W10)/Datos!W10," - ")</f>
        <v>0.11235955056179775</v>
      </c>
      <c r="I10" s="350">
        <f>IF(ISNUMBER((Tasas!C10-Datos!BE10)/Datos!BE10),(Tasas!C10-Datos!BE10)/Datos!BE10," - ")</f>
        <v>0.21334882948696662</v>
      </c>
      <c r="J10" s="349">
        <f>IF(ISNUMBER((Tasas!D10-Datos!BF10)/Datos!BF10),(Tasas!D10-Datos!BF10)/Datos!BF10," - ")</f>
        <v>0.13187463039621525</v>
      </c>
      <c r="K10" s="351">
        <f>IF(ISNUMBER((Tasas!E10-Datos!BG10)/Datos!BG10),(Tasas!E10-Datos!BG10)/Datos!BG10," - ")</f>
        <v>0.12319048988591709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-3.875968992248062E-2</v>
      </c>
      <c r="I11" s="350">
        <f>IF(ISNUMBER((Tasas!C11-Datos!BE11)/Datos!BE11),(Tasas!C11-Datos!BE11)/Datos!BE11," - ")</f>
        <v>-0.31288301073069286</v>
      </c>
      <c r="J11" s="349">
        <f>IF(ISNUMBER((Tasas!D11-Datos!BF11)/Datos!BF11),(Tasas!D11-Datos!BF11)/Datos!BF11," - ")</f>
        <v>0.16408451851489825</v>
      </c>
      <c r="K11" s="351">
        <f>IF(ISNUMBER((Tasas!E11-Datos!BG11)/Datos!BG11),(Tasas!E11-Datos!BG11)/Datos!BG11," - ")</f>
        <v>-0.17326904369157883</v>
      </c>
      <c r="M11" t="e">
        <f>IF(Monitorios="SI",Datos!CE11,0)</f>
        <v>#REF!</v>
      </c>
      <c r="N11" t="e">
        <f>IF(Monitorios="SI",Datos!CF11,0)</f>
        <v>#REF!</v>
      </c>
      <c r="O11" t="e">
        <f>IF(Monitorios="SI",Datos!CG11,0)</f>
        <v>#REF!</v>
      </c>
      <c r="P11" t="e">
        <f>IF(Monitorios="SI",Datos!CH11,0)</f>
        <v>#REF!</v>
      </c>
      <c r="Q11">
        <f>IF(J_V="SI",0,Datos!AG11)</f>
        <v>165</v>
      </c>
      <c r="R11">
        <f>IF(J_V="SI",0,Datos!AH11)</f>
        <v>152</v>
      </c>
      <c r="S11">
        <f>IF(J_V="SI",0,Datos!AI11)</f>
        <v>125</v>
      </c>
      <c r="T11">
        <f>IF(J_V="SI",0,Datos!AJ11)</f>
        <v>192</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0.10964083175803403</v>
      </c>
      <c r="I13" s="357">
        <f>IF(ISNUMBER((Tasas!C13-Datos!BE13)/Datos!BE13),(Tasas!C13-Datos!BE13)/Datos!BE13," - ")</f>
        <v>4.6013567483043964E-2</v>
      </c>
      <c r="J13" s="355">
        <f>IF(ISNUMBER((Tasas!D13-Datos!BF13)/Datos!BF13),(Tasas!D13-Datos!BF13)/Datos!BF13," - ")</f>
        <v>-0.46236729504451018</v>
      </c>
      <c r="K13" s="358">
        <f>IF(ISNUMBER((Tasas!E13-Datos!BG13)/Datos!BG13),(Tasas!E13-Datos!BG13)/Datos!BG13," - ")</f>
        <v>3.2011415718323971E-2</v>
      </c>
      <c r="M13" t="e">
        <f>IF(Monitorios="SI",Datos!CE13,0)</f>
        <v>#REF!</v>
      </c>
      <c r="N13" t="e">
        <f>IF(Monitorios="SI",Datos!CF13,0)</f>
        <v>#REF!</v>
      </c>
      <c r="O13" t="e">
        <f>IF(Monitorios="SI",Datos!CG13,0)</f>
        <v>#REF!</v>
      </c>
      <c r="P13" t="e">
        <f>IF(Monitorios="SI",Datos!CH13,0)</f>
        <v>#REF!</v>
      </c>
      <c r="Q13">
        <f>IF(J_V="SI",0,Datos!AG13)</f>
        <v>1131</v>
      </c>
      <c r="R13">
        <f>IF(J_V="SI",0,Datos!AH13)</f>
        <v>1207</v>
      </c>
      <c r="S13">
        <f>IF(J_V="SI",0,Datos!AI13)</f>
        <v>1132</v>
      </c>
      <c r="T13">
        <f>IF(J_V="SI",0,Datos!AJ13)</f>
        <v>1206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4.1403893611187279E-2</v>
      </c>
      <c r="E15" s="348">
        <f>IF(ISNUMBER(
   IF(D_I="SI",(Datos!J15-Datos!T15)/Datos!T15,(Datos!J15+Datos!AD15-(Datos!T15+Datos!AL15))/(Datos!T15+Datos!AL15))
     ),IF(D_I="SI",(Datos!J15-Datos!T15)/Datos!T15,(Datos!J15+Datos!AD15-(Datos!T15+Datos!AL15))/(Datos!T15+Datos!AL15))," - ")</f>
        <v>-4.4730274524860815E-2</v>
      </c>
      <c r="F15" s="348">
        <f>IF(ISNUMBER(
   IF(D_I="SI",(Datos!K15-Datos!U15)/Datos!U15,(Datos!K15+Datos!AE15-(Datos!U15+Datos!AM15))/(Datos!U15+Datos!AM15))
     ),IF(D_I="SI",(Datos!K15-Datos!U15)/Datos!U15,(Datos!K15+Datos!AE15-(Datos!U15+Datos!AM15))/(Datos!U15+Datos!AM15))," - ")</f>
        <v>-7.6135435642942395E-2</v>
      </c>
      <c r="G15" s="349">
        <f>IF(ISNUMBER(
   IF(D_I="SI",(Datos!L15-Datos!V15)/Datos!V15,(Datos!L15+Datos!AF15-(Datos!V15+Datos!AN15))/(Datos!V15+Datos!AN15))
     ),IF(D_I="SI",(Datos!L15-Datos!V15)/Datos!V15,(Datos!L15+Datos!AF15-(Datos!V15+Datos!AN15))/(Datos!V15+Datos!AN15))," - ")</f>
        <v>9.1118906942392913E-2</v>
      </c>
      <c r="H15" s="230">
        <f>IF(ISNUMBER((Datos!M15-Datos!W15)/Datos!W15),(Datos!M15-Datos!W15)/Datos!W15," - ")</f>
        <v>-2.6636568848758466E-2</v>
      </c>
      <c r="I15" s="350">
        <f>IF(ISNUMBER((Tasas!C15-Datos!BE15)/Datos!BE15),(Tasas!C15-Datos!BE15)/Datos!BE15," - ")</f>
        <v>0.18103772894648479</v>
      </c>
      <c r="J15" s="349">
        <f>IF(ISNUMBER((Tasas!D15-Datos!BF15)/Datos!BF15),(Tasas!D15-Datos!BF15)/Datos!BF15," - ")</f>
        <v>5.3578055381560657E-2</v>
      </c>
      <c r="K15" s="351">
        <f>IF(ISNUMBER((Tasas!E15-Datos!BG15)/Datos!BG15),(Tasas!E15-Datos!BG15)/Datos!BG15," - ")</f>
        <v>7.2387424481665255E-2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-5.3924914675767918E-2</v>
      </c>
      <c r="E17" s="348">
        <f>IF(ISNUMBER(
   IF(D_I="SI",(Datos!J17-Datos!T17)/Datos!T17,(Datos!J17+Datos!AD17-(Datos!T17+Datos!AL17))/(Datos!T17+Datos!AL17))
     ),IF(D_I="SI",(Datos!J17-Datos!T17)/Datos!T17,(Datos!J17+Datos!AD17-(Datos!T17+Datos!AL17))/(Datos!T17+Datos!AL17))," - ")</f>
        <v>-0.11552346570397112</v>
      </c>
      <c r="F17" s="348">
        <f>IF(ISNUMBER(
   IF(D_I="SI",(Datos!K17-Datos!U17)/Datos!U17,(Datos!K17+Datos!AE17-(Datos!U17+Datos!AM17))/(Datos!U17+Datos!AM17))
     ),IF(D_I="SI",(Datos!K17-Datos!U17)/Datos!U17,(Datos!K17+Datos!AE17-(Datos!U17+Datos!AM17))/(Datos!U17+Datos!AM17))," - ")</f>
        <v>-0.12622658340767173</v>
      </c>
      <c r="G17" s="349">
        <f>IF(ISNUMBER(
   IF(D_I="SI",(Datos!L17-Datos!V17)/Datos!V17,(Datos!L17+Datos!AF17-(Datos!V17+Datos!AN17))/(Datos!V17+Datos!AN17))
     ),IF(D_I="SI",(Datos!L17-Datos!V17)/Datos!V17,(Datos!L17+Datos!AF17-(Datos!V17+Datos!AN17))/(Datos!V17+Datos!AN17))," - ")</f>
        <v>-3.4746351633078529E-2</v>
      </c>
      <c r="H17" s="230">
        <f>IF(ISNUMBER((Datos!M17-Datos!W17)/Datos!W17),(Datos!M17-Datos!W17)/Datos!W17," - ")</f>
        <v>-0.19117647058823528</v>
      </c>
      <c r="I17" s="350">
        <f>IF(ISNUMBER((Tasas!C17-Datos!BE17)/Datos!BE17),(Tasas!C17-Datos!BE17)/Datos!BE17," - ")</f>
        <v>0.10469559961135164</v>
      </c>
      <c r="J17" s="349">
        <f>IF(ISNUMBER((Tasas!D17-Datos!BF17)/Datos!BF17),(Tasas!D17-Datos!BF17)/Datos!BF17," - ")</f>
        <v>-7.433264270486141E-2</v>
      </c>
      <c r="K17" s="351">
        <f>IF(ISNUMBER((Tasas!E17-Datos!BG17)/Datos!BG17),(Tasas!E17-Datos!BG17)/Datos!BG17," - ")</f>
        <v>4.0306450671251791E-2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3.0146703208125101E-2</v>
      </c>
      <c r="E18" s="354">
        <f>IF(ISNUMBER(
   IF(D_I="SI",(Datos!J18-Datos!T18)/Datos!T18,(Datos!J18+Datos!AD18-(Datos!T18+Datos!AL18))/(Datos!T18+Datos!AL18))
     ),IF(D_I="SI",(Datos!J18-Datos!T18)/Datos!T18,(Datos!J18+Datos!AD18-(Datos!T18+Datos!AL18))/(Datos!T18+Datos!AL18))," - ")</f>
        <v>-5.352238973266827E-2</v>
      </c>
      <c r="F18" s="354">
        <f>IF(ISNUMBER(
   IF(D_I="SI",(Datos!K18-Datos!U18)/Datos!U18,(Datos!K18+Datos!AE18-(Datos!U18+Datos!AM18))/(Datos!U18+Datos!AM18))
     ),IF(D_I="SI",(Datos!K18-Datos!U18)/Datos!U18,(Datos!K18+Datos!AE18-(Datos!U18+Datos!AM18))/(Datos!U18+Datos!AM18))," - ")</f>
        <v>-8.2319255547601999E-2</v>
      </c>
      <c r="G18" s="355">
        <f>IF(ISNUMBER(
   IF(D_I="SI",(Datos!L18-Datos!V18)/Datos!V18,(Datos!L18+Datos!AF18-(Datos!V18+Datos!AN18))/(Datos!V18+Datos!AN18))
     ),IF(D_I="SI",(Datos!L18-Datos!V18)/Datos!V18,(Datos!L18+Datos!AF18-(Datos!V18+Datos!AN18))/(Datos!V18+Datos!AN18))," - ")</f>
        <v>7.6358894955586343E-2</v>
      </c>
      <c r="H18" s="356">
        <f>IF(ISNUMBER((Datos!M18-Datos!W18)/Datos!W18),(Datos!M18-Datos!W18)/Datos!W18," - ")</f>
        <v>-3.6154827732879626E-2</v>
      </c>
      <c r="I18" s="357">
        <f>IF(ISNUMBER((Tasas!C18-Datos!BE18)/Datos!BE18),(Tasas!C18-Datos!BE18)/Datos!BE18," - ")</f>
        <v>0.17291214996330281</v>
      </c>
      <c r="J18" s="355">
        <f>IF(ISNUMBER((Tasas!D18-Datos!BF18)/Datos!BF18),(Tasas!D18-Datos!BF18)/Datos!BF18," - ")</f>
        <v>5.0305542634295708E-2</v>
      </c>
      <c r="K18" s="358">
        <f>IF(ISNUMBER((Tasas!E18-Datos!BG18)/Datos!BG18),(Tasas!E18-Datos!BG18)/Datos!BG18," - ")</f>
        <v>6.8773382691729334E-2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0.24314044499164542</v>
      </c>
      <c r="E19" s="363">
        <f>IF(ISNUMBER(
   IF(J_V="SI",(Datos!J19-Datos!T19)/Datos!T19,(Datos!J19+Datos!Z19-(Datos!T19+Datos!AH19))/(Datos!T19+Datos!AH19))
     ),IF(J_V="SI",(Datos!J19-Datos!T19)/Datos!T19,(Datos!J19+Datos!Z19-(Datos!T19+Datos!AH19))/(Datos!T19+Datos!AH19))," - ")</f>
        <v>-8.8603615404768146E-2</v>
      </c>
      <c r="F19" s="363">
        <f>IF(ISNUMBER(
   IF(J_V="SI",(Datos!K19-Datos!U19)/Datos!U19,(Datos!K19+Datos!AA19-(Datos!U19+Datos!AI19))/(Datos!U19+Datos!AI19))
     ),IF(J_V="SI",(Datos!K19-Datos!U19)/Datos!U19,(Datos!K19+Datos!AA19-(Datos!U19+Datos!AI19))/(Datos!U19+Datos!AI19))," - ")</f>
        <v>1.364696398237987E-2</v>
      </c>
      <c r="G19" s="364">
        <f>IF(ISNUMBER(
   IF(J_V="SI",(Datos!L19-Datos!V19)/Datos!V19,(Datos!L19+Datos!AB19-(Datos!V19+Datos!AJ19))/(Datos!V19+Datos!AJ19))
     ),IF(J_V="SI",(Datos!L19-Datos!V19)/Datos!V19,(Datos!L19+Datos!AB19-(Datos!V19+Datos!AJ19))/(Datos!V19+Datos!AJ19))," - ")</f>
        <v>0.14690904664326726</v>
      </c>
      <c r="H19" s="365">
        <f>IF(ISNUMBER((Datos!M19-Datos!W19)/Datos!W19),(Datos!M19-Datos!W19)/Datos!W19," - ")</f>
        <v>5.757253531824396E-2</v>
      </c>
      <c r="I19" s="362">
        <f>IF(ISNUMBER((Tasas!C19-Datos!BE19)/Datos!BE19),(Tasas!C19-Datos!BE19)/Datos!BE19," - ")</f>
        <v>0.13146794435937742</v>
      </c>
      <c r="J19" s="363">
        <f>IF(ISNUMBER((Tasas!D19-Datos!BF19)/Datos!BF19),(Tasas!D19-Datos!BF19)/Datos!BF19," - ")</f>
        <v>-0.32385617438467723</v>
      </c>
      <c r="K19" s="364">
        <f>IF(ISNUMBER((Tasas!E19-Datos!BG19)/Datos!BG19),(Tasas!E19-Datos!BG19)/Datos!BG19," - ")</f>
        <v>7.7072101532709519E-2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4.8654747669437601E-2</v>
      </c>
      <c r="E21" s="278">
        <f t="shared" si="1"/>
        <v>0.12693741180856602</v>
      </c>
      <c r="F21" s="278">
        <f t="shared" si="1"/>
        <v>4.4774091012369906E-2</v>
      </c>
      <c r="G21" s="279">
        <f t="shared" si="1"/>
        <v>9.2982507921738372E-2</v>
      </c>
      <c r="H21" s="285">
        <f t="shared" si="1"/>
        <v>0.11750056640481937</v>
      </c>
      <c r="I21" s="277">
        <f t="shared" si="1"/>
        <v>0.17880642645530501</v>
      </c>
      <c r="J21" s="278">
        <f t="shared" si="1"/>
        <v>0.2796936147345494</v>
      </c>
      <c r="K21" s="279">
        <f t="shared" si="1"/>
        <v>9.4521931748381929E-2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OkuNjh2nxOLyx3hw15ym5CNsgULzmh/J3kK/mP9YS2/MAs9CvBTDVFvRyjXfEyID2OmFGqX164RuHyQ/G2za6A==" saltValue="b2lAyV/t/sQ/v3eVeyB+V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